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9. Organic Input production\"/>
    </mc:Choice>
  </mc:AlternateContent>
  <xr:revisionPtr revIDLastSave="0" documentId="13_ncr:1_{C1B4D7E9-8D00-4531-B2B2-8F40B0EFFAC8}" xr6:coauthVersionLast="47" xr6:coauthVersionMax="47" xr10:uidLastSave="{00000000-0000-0000-0000-000000000000}"/>
  <bookViews>
    <workbookView xWindow="-110" yWindow="-110" windowWidth="19420" windowHeight="11020" firstSheet="4" activeTab="16"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3" l="1"/>
  <c r="D5" i="22" l="1"/>
  <c r="D36" i="19"/>
  <c r="C36" i="4"/>
  <c r="C7" i="4" s="1"/>
  <c r="G4" i="3"/>
  <c r="G10" i="3"/>
  <c r="G11" i="3"/>
  <c r="G12" i="3"/>
  <c r="G13" i="3"/>
  <c r="G14" i="3"/>
  <c r="G16" i="3"/>
  <c r="G9" i="3"/>
  <c r="D24" i="11"/>
  <c r="C24" i="11"/>
  <c r="D18" i="11" l="1"/>
  <c r="D8" i="11"/>
  <c r="C6" i="19"/>
  <c r="C8" i="19" s="1"/>
  <c r="D6" i="19"/>
  <c r="D8" i="19" s="1"/>
  <c r="E6" i="19"/>
  <c r="E8" i="19" s="1"/>
  <c r="F6" i="19"/>
  <c r="F8" i="19" s="1"/>
  <c r="G6" i="19"/>
  <c r="G8" i="19" s="1"/>
  <c r="H6" i="19"/>
  <c r="H8" i="19" s="1"/>
  <c r="I6" i="19"/>
  <c r="I8" i="19" s="1"/>
  <c r="J6" i="19"/>
  <c r="J8" i="19" s="1"/>
  <c r="C7" i="19"/>
  <c r="C9" i="19" s="1"/>
  <c r="D7" i="19"/>
  <c r="D9" i="19" s="1"/>
  <c r="E7" i="19"/>
  <c r="E9" i="19" s="1"/>
  <c r="F7" i="19"/>
  <c r="F9" i="19" s="1"/>
  <c r="G7" i="19"/>
  <c r="G9" i="19" s="1"/>
  <c r="H7" i="19"/>
  <c r="H9" i="19" s="1"/>
  <c r="I7" i="19"/>
  <c r="I9" i="19" s="1"/>
  <c r="J7" i="19"/>
  <c r="J9" i="19" s="1"/>
  <c r="B6" i="19"/>
  <c r="B8" i="19" s="1"/>
  <c r="B7" i="19"/>
  <c r="B9" i="19" s="1"/>
  <c r="G8" i="3"/>
  <c r="E4" i="22"/>
  <c r="E5" i="22" s="1"/>
  <c r="C18" i="11"/>
  <c r="C19" i="11" s="1"/>
  <c r="C22" i="11" s="1"/>
  <c r="C23" i="11" s="1"/>
  <c r="C25" i="11" s="1"/>
  <c r="C25" i="4"/>
  <c r="B12" i="18"/>
  <c r="D21" i="4"/>
  <c r="E21" i="4"/>
  <c r="F21" i="4"/>
  <c r="G21" i="4"/>
  <c r="H21" i="4"/>
  <c r="I21" i="4"/>
  <c r="J21" i="4"/>
  <c r="K21" i="4"/>
  <c r="C21" i="4"/>
  <c r="C7" i="2"/>
  <c r="B4" i="18" s="1"/>
  <c r="G5" i="3"/>
  <c r="C11" i="1" s="1"/>
  <c r="B13" i="23"/>
  <c r="B9" i="23"/>
  <c r="B15" i="23" l="1"/>
  <c r="B17" i="23" s="1"/>
  <c r="D19" i="11"/>
  <c r="D22" i="11" s="1"/>
  <c r="D23" i="11" s="1"/>
  <c r="B10" i="19"/>
  <c r="G17" i="3"/>
  <c r="F4" i="22"/>
  <c r="F5" i="22" s="1"/>
  <c r="A6" i="21"/>
  <c r="D25" i="11" l="1"/>
  <c r="E25" i="11" s="1"/>
  <c r="C16" i="4"/>
  <c r="C8" i="4" s="1"/>
  <c r="E5" i="11"/>
  <c r="D7" i="11" s="1"/>
  <c r="G4" i="22"/>
  <c r="G5" i="22" s="1"/>
  <c r="A13" i="21"/>
  <c r="A11" i="21"/>
  <c r="A10" i="21"/>
  <c r="A9" i="21"/>
  <c r="K46" i="7"/>
  <c r="J46" i="7"/>
  <c r="D22" i="7"/>
  <c r="E22" i="7"/>
  <c r="F22" i="7"/>
  <c r="G22" i="7"/>
  <c r="H22" i="7"/>
  <c r="I22" i="7"/>
  <c r="I33" i="7" s="1"/>
  <c r="J22" i="7"/>
  <c r="J33" i="7" s="1"/>
  <c r="K22" i="7"/>
  <c r="K33" i="7" s="1"/>
  <c r="C22" i="7"/>
  <c r="E8" i="9"/>
  <c r="A14" i="21"/>
  <c r="H4" i="22" l="1"/>
  <c r="H5" i="22" s="1"/>
  <c r="A16" i="21"/>
  <c r="A15" i="21"/>
  <c r="A12" i="21"/>
  <c r="A8" i="21"/>
  <c r="A7" i="21"/>
  <c r="A5" i="21"/>
  <c r="A4" i="21"/>
  <c r="C23" i="18"/>
  <c r="K23" i="18"/>
  <c r="J23" i="18"/>
  <c r="I23" i="18"/>
  <c r="H23" i="18"/>
  <c r="G23" i="18"/>
  <c r="F23" i="18"/>
  <c r="E23" i="18"/>
  <c r="D23" i="18"/>
  <c r="I4" i="22" l="1"/>
  <c r="I5" i="22" s="1"/>
  <c r="I40" i="7"/>
  <c r="J40" i="7"/>
  <c r="K40" i="7"/>
  <c r="J4" i="22" l="1"/>
  <c r="J5" i="22" s="1"/>
  <c r="C19" i="1"/>
  <c r="G19" i="3"/>
  <c r="D35" i="4"/>
  <c r="D36" i="4" s="1"/>
  <c r="D7" i="4" s="1"/>
  <c r="K4" i="22" l="1"/>
  <c r="K5" i="22" s="1"/>
  <c r="E35" i="4"/>
  <c r="E36" i="4" s="1"/>
  <c r="E7" i="4" s="1"/>
  <c r="L4" i="22" l="1"/>
  <c r="L5" i="22" s="1"/>
  <c r="F35" i="4"/>
  <c r="F36" i="4" s="1"/>
  <c r="F7" i="4" s="1"/>
  <c r="C10" i="19" l="1"/>
  <c r="D16" i="4" s="1"/>
  <c r="D8" i="4" s="1"/>
  <c r="C12" i="7"/>
  <c r="G35" i="4"/>
  <c r="G36" i="4" l="1"/>
  <c r="G7" i="4" s="1"/>
  <c r="H35" i="4"/>
  <c r="D10" i="19"/>
  <c r="E16" i="4" s="1"/>
  <c r="E8" i="4" s="1"/>
  <c r="C8" i="18"/>
  <c r="B3" i="20"/>
  <c r="H36" i="4" l="1"/>
  <c r="H7" i="4" s="1"/>
  <c r="I35" i="4"/>
  <c r="E10" i="19"/>
  <c r="F16" i="4" s="1"/>
  <c r="F8" i="4" s="1"/>
  <c r="E12" i="7"/>
  <c r="E8" i="18" s="1"/>
  <c r="D12" i="7"/>
  <c r="D8" i="18" s="1"/>
  <c r="C3" i="20"/>
  <c r="D3" i="20"/>
  <c r="J35" i="4" l="1"/>
  <c r="I36" i="4"/>
  <c r="I7" i="4" s="1"/>
  <c r="F12" i="7"/>
  <c r="F10" i="19"/>
  <c r="G16" i="4" s="1"/>
  <c r="G8" i="4" s="1"/>
  <c r="E3" i="20"/>
  <c r="K35" i="4" l="1"/>
  <c r="K36" i="4" s="1"/>
  <c r="K7" i="4" s="1"/>
  <c r="J36" i="4"/>
  <c r="J7" i="4" s="1"/>
  <c r="G10" i="19"/>
  <c r="H16" i="4" s="1"/>
  <c r="H8" i="4" s="1"/>
  <c r="G12" i="7"/>
  <c r="F3" i="20"/>
  <c r="C12" i="1"/>
  <c r="C35" i="1"/>
  <c r="J22" i="4"/>
  <c r="K22" i="4"/>
  <c r="K13" i="18" s="1"/>
  <c r="H10" i="19" l="1"/>
  <c r="I16" i="4" s="1"/>
  <c r="I8" i="4" s="1"/>
  <c r="H12" i="7"/>
  <c r="G3" i="20"/>
  <c r="D9" i="11"/>
  <c r="C6" i="10"/>
  <c r="J13" i="18"/>
  <c r="J45" i="7"/>
  <c r="K45" i="7"/>
  <c r="E6" i="9"/>
  <c r="E17" i="9"/>
  <c r="I12" i="7" l="1"/>
  <c r="H3" i="20"/>
  <c r="J10" i="19"/>
  <c r="K16" i="4" s="1"/>
  <c r="K8" i="4" s="1"/>
  <c r="I10" i="19"/>
  <c r="J16" i="4" s="1"/>
  <c r="J8" i="4" s="1"/>
  <c r="E9" i="11"/>
  <c r="E10" i="11" s="1"/>
  <c r="I3" i="20" l="1"/>
  <c r="J12" i="7"/>
  <c r="J3" i="20"/>
  <c r="K12" i="7"/>
  <c r="D9" i="4"/>
  <c r="D10" i="4" s="1"/>
  <c r="E12" i="10"/>
  <c r="J47" i="7"/>
  <c r="K47" i="7"/>
  <c r="C12" i="10"/>
  <c r="C20" i="1"/>
  <c r="C16" i="1"/>
  <c r="F8" i="10"/>
  <c r="F7" i="10"/>
  <c r="E9" i="9"/>
  <c r="E7" i="9"/>
  <c r="C9" i="1"/>
  <c r="D6" i="10" l="1"/>
  <c r="D12" i="10" s="1"/>
  <c r="D13" i="10" s="1"/>
  <c r="D14" i="10" s="1"/>
  <c r="C39" i="1"/>
  <c r="C8" i="2" s="1"/>
  <c r="D10" i="18"/>
  <c r="C7" i="15"/>
  <c r="E10" i="9"/>
  <c r="E12" i="9" s="1"/>
  <c r="E10" i="18"/>
  <c r="C13" i="10"/>
  <c r="C3" i="15"/>
  <c r="E13" i="10"/>
  <c r="K6" i="12"/>
  <c r="E5" i="12"/>
  <c r="H6" i="12"/>
  <c r="E6" i="12"/>
  <c r="D6" i="12"/>
  <c r="F6" i="12"/>
  <c r="F5" i="12"/>
  <c r="G5" i="12"/>
  <c r="I6" i="12"/>
  <c r="F6" i="10" l="1"/>
  <c r="B7" i="18" s="1"/>
  <c r="C26" i="4"/>
  <c r="B10" i="13"/>
  <c r="F12" i="10"/>
  <c r="E12" i="11" s="1"/>
  <c r="C10" i="7"/>
  <c r="C9" i="7"/>
  <c r="C4" i="2"/>
  <c r="C6" i="2" s="1"/>
  <c r="F13" i="10"/>
  <c r="E9" i="4"/>
  <c r="E10" i="4" s="1"/>
  <c r="E13" i="9"/>
  <c r="F3" i="15"/>
  <c r="F10" i="18"/>
  <c r="C14" i="10"/>
  <c r="F14" i="10" s="1"/>
  <c r="C10" i="13"/>
  <c r="D26" i="4"/>
  <c r="D10" i="7"/>
  <c r="E3" i="15"/>
  <c r="D3" i="15"/>
  <c r="E14" i="10"/>
  <c r="H5" i="12"/>
  <c r="J5" i="12"/>
  <c r="C6" i="12"/>
  <c r="J6" i="12"/>
  <c r="D5" i="12"/>
  <c r="I5" i="12"/>
  <c r="C5" i="12"/>
  <c r="G6" i="12"/>
  <c r="K5" i="12"/>
  <c r="D15" i="10"/>
  <c r="D16" i="10" s="1"/>
  <c r="D17" i="10" s="1"/>
  <c r="C11" i="7" l="1"/>
  <c r="D9" i="7" s="1"/>
  <c r="F9" i="10"/>
  <c r="B26" i="18"/>
  <c r="B27" i="18" s="1"/>
  <c r="B6" i="18"/>
  <c r="D4" i="14"/>
  <c r="D11" i="14" s="1"/>
  <c r="E15" i="9"/>
  <c r="C12" i="4"/>
  <c r="C17" i="7"/>
  <c r="B5" i="18" s="1"/>
  <c r="C39" i="7"/>
  <c r="F9" i="4"/>
  <c r="F10" i="4" s="1"/>
  <c r="G10" i="18"/>
  <c r="D11" i="7"/>
  <c r="D39" i="7" s="1"/>
  <c r="E26" i="4"/>
  <c r="E10" i="7"/>
  <c r="D10" i="13"/>
  <c r="C15" i="10"/>
  <c r="E15" i="10"/>
  <c r="D18" i="10"/>
  <c r="D12" i="14" l="1"/>
  <c r="D13" i="14" s="1"/>
  <c r="C11" i="14"/>
  <c r="C9" i="14"/>
  <c r="E9" i="14" s="1"/>
  <c r="C10" i="14"/>
  <c r="E10" i="14" s="1"/>
  <c r="B20" i="18"/>
  <c r="C4" i="18" s="1"/>
  <c r="C24" i="18" s="1"/>
  <c r="C25" i="18" s="1"/>
  <c r="D12" i="4"/>
  <c r="C23" i="7"/>
  <c r="B24" i="18"/>
  <c r="C13" i="4"/>
  <c r="F15" i="10"/>
  <c r="G9" i="4"/>
  <c r="G10" i="4" s="1"/>
  <c r="F8" i="18"/>
  <c r="H10" i="18"/>
  <c r="G3" i="15"/>
  <c r="E9" i="7"/>
  <c r="E11" i="7" s="1"/>
  <c r="E39" i="7" s="1"/>
  <c r="F10" i="7"/>
  <c r="E10" i="13"/>
  <c r="F26" i="4"/>
  <c r="C16" i="10"/>
  <c r="C17" i="10" s="1"/>
  <c r="E16" i="10"/>
  <c r="D19" i="10"/>
  <c r="D20" i="10" s="1"/>
  <c r="C19" i="18" l="1"/>
  <c r="C46" i="7"/>
  <c r="D14" i="14"/>
  <c r="E11" i="14"/>
  <c r="C12" i="14"/>
  <c r="E12" i="4"/>
  <c r="E13" i="4" s="1"/>
  <c r="D23" i="7"/>
  <c r="D9" i="18"/>
  <c r="C28" i="7"/>
  <c r="B29" i="18"/>
  <c r="B25" i="18"/>
  <c r="B30" i="18" s="1"/>
  <c r="D13" i="4"/>
  <c r="F16" i="10"/>
  <c r="H9" i="4"/>
  <c r="H10" i="4" s="1"/>
  <c r="G8" i="18"/>
  <c r="I10" i="18"/>
  <c r="H3" i="15"/>
  <c r="F9" i="7"/>
  <c r="F11" i="7" s="1"/>
  <c r="F39" i="7" s="1"/>
  <c r="G10" i="7"/>
  <c r="F10" i="13"/>
  <c r="G26" i="4"/>
  <c r="C18" i="10"/>
  <c r="E17" i="10"/>
  <c r="H26" i="4" s="1"/>
  <c r="D15" i="14" l="1"/>
  <c r="E12" i="14"/>
  <c r="E14" i="11" s="1"/>
  <c r="C13" i="14"/>
  <c r="D11" i="18"/>
  <c r="E9" i="18"/>
  <c r="D28" i="7"/>
  <c r="F12" i="4"/>
  <c r="E23" i="7"/>
  <c r="E11" i="18" s="1"/>
  <c r="D15" i="4"/>
  <c r="D17" i="4" s="1"/>
  <c r="D48" i="7" s="1"/>
  <c r="F17" i="10"/>
  <c r="E15" i="4"/>
  <c r="I9" i="4"/>
  <c r="I10" i="4" s="1"/>
  <c r="H8" i="18"/>
  <c r="J10" i="18"/>
  <c r="I3" i="15"/>
  <c r="G9" i="7"/>
  <c r="G11" i="7" s="1"/>
  <c r="H10" i="7"/>
  <c r="G10" i="13"/>
  <c r="C19" i="10"/>
  <c r="E18" i="10"/>
  <c r="E19" i="10" s="1"/>
  <c r="D16" i="14" l="1"/>
  <c r="D46" i="7" s="1"/>
  <c r="E15" i="11"/>
  <c r="C27" i="11" s="1"/>
  <c r="C20" i="4"/>
  <c r="C22" i="4" s="1"/>
  <c r="E13" i="14"/>
  <c r="C21" i="7"/>
  <c r="C14" i="14"/>
  <c r="F9" i="18"/>
  <c r="E28" i="7"/>
  <c r="G12" i="4"/>
  <c r="G13" i="4" s="1"/>
  <c r="F23" i="7"/>
  <c r="F13" i="4"/>
  <c r="F15" i="4" s="1"/>
  <c r="C4" i="20"/>
  <c r="C5" i="20" s="1"/>
  <c r="C6" i="20" s="1"/>
  <c r="F18" i="10"/>
  <c r="E17" i="4"/>
  <c r="E48" i="7" s="1"/>
  <c r="D4" i="20"/>
  <c r="C20" i="10"/>
  <c r="F19" i="10"/>
  <c r="J9" i="4"/>
  <c r="J10" i="4" s="1"/>
  <c r="K9" i="4"/>
  <c r="K10" i="4" s="1"/>
  <c r="I8" i="18"/>
  <c r="K10" i="18"/>
  <c r="G39" i="7"/>
  <c r="H9" i="7"/>
  <c r="H11" i="7" s="1"/>
  <c r="I10" i="7"/>
  <c r="I26" i="4"/>
  <c r="H10" i="13"/>
  <c r="I10" i="13"/>
  <c r="J10" i="7"/>
  <c r="J26" i="4"/>
  <c r="E20" i="10"/>
  <c r="D19" i="18" l="1"/>
  <c r="D17" i="14"/>
  <c r="C29" i="11"/>
  <c r="C31" i="11"/>
  <c r="C28" i="11"/>
  <c r="F11" i="18"/>
  <c r="E14" i="14"/>
  <c r="C15" i="14"/>
  <c r="C45" i="7"/>
  <c r="C47" i="7" s="1"/>
  <c r="C13" i="18"/>
  <c r="C40" i="7"/>
  <c r="C41" i="7" s="1"/>
  <c r="C33" i="7"/>
  <c r="G9" i="18"/>
  <c r="F28" i="7"/>
  <c r="H12" i="4"/>
  <c r="H13" i="4" s="1"/>
  <c r="G23" i="7"/>
  <c r="G11" i="18" s="1"/>
  <c r="F20" i="10"/>
  <c r="F17" i="4"/>
  <c r="F48" i="7" s="1"/>
  <c r="E4" i="20"/>
  <c r="E5" i="20" s="1"/>
  <c r="E6" i="20" s="1"/>
  <c r="D5" i="20"/>
  <c r="D6" i="20" s="1"/>
  <c r="K26" i="4"/>
  <c r="J10" i="13"/>
  <c r="G15" i="4"/>
  <c r="F4" i="20" s="1"/>
  <c r="F5" i="20" s="1"/>
  <c r="F6" i="20" s="1"/>
  <c r="J8" i="18"/>
  <c r="K8" i="18"/>
  <c r="H39" i="7"/>
  <c r="I9" i="7"/>
  <c r="I11" i="7" s="1"/>
  <c r="J9" i="7" s="1"/>
  <c r="J11" i="7" s="1"/>
  <c r="K10" i="7"/>
  <c r="D18" i="14" l="1"/>
  <c r="E15" i="14"/>
  <c r="C16" i="14"/>
  <c r="H9" i="18"/>
  <c r="G28" i="7"/>
  <c r="I12" i="4"/>
  <c r="I13" i="4" s="1"/>
  <c r="H23" i="7"/>
  <c r="H11" i="18" s="1"/>
  <c r="H15" i="4"/>
  <c r="G4" i="20" s="1"/>
  <c r="G5" i="20" s="1"/>
  <c r="G6" i="20" s="1"/>
  <c r="I39" i="7"/>
  <c r="J39" i="7"/>
  <c r="K9" i="7"/>
  <c r="K11" i="7" s="1"/>
  <c r="K39" i="7" s="1"/>
  <c r="G17" i="4"/>
  <c r="G48" i="7" s="1"/>
  <c r="D19" i="14" l="1"/>
  <c r="E16" i="14"/>
  <c r="D20" i="4" s="1"/>
  <c r="D22" i="4" s="1"/>
  <c r="C17" i="14"/>
  <c r="I9" i="18"/>
  <c r="H28" i="7"/>
  <c r="J12" i="4"/>
  <c r="J13" i="4" s="1"/>
  <c r="I23" i="7"/>
  <c r="I11" i="18" s="1"/>
  <c r="I15" i="4"/>
  <c r="H4" i="20" s="1"/>
  <c r="H5" i="20" s="1"/>
  <c r="H6" i="20" s="1"/>
  <c r="D20" i="14" l="1"/>
  <c r="E19" i="18" s="1"/>
  <c r="E46" i="7"/>
  <c r="E17" i="14"/>
  <c r="C18" i="14"/>
  <c r="D21" i="7"/>
  <c r="D45" i="7"/>
  <c r="D47" i="7" s="1"/>
  <c r="D49" i="7" s="1"/>
  <c r="D24" i="4"/>
  <c r="D13" i="18"/>
  <c r="J9" i="18"/>
  <c r="I28" i="7"/>
  <c r="K12" i="4"/>
  <c r="J23" i="7"/>
  <c r="J11" i="18" s="1"/>
  <c r="J15" i="4"/>
  <c r="I4" i="20" s="1"/>
  <c r="I5" i="20" s="1"/>
  <c r="I6" i="20" s="1"/>
  <c r="H17" i="4"/>
  <c r="H48" i="7" s="1"/>
  <c r="D21" i="14" l="1"/>
  <c r="D33" i="7"/>
  <c r="D40" i="7"/>
  <c r="D41" i="7" s="1"/>
  <c r="D27" i="4"/>
  <c r="C7" i="13"/>
  <c r="C9" i="13" s="1"/>
  <c r="C11" i="13" s="1"/>
  <c r="C13" i="13" s="1"/>
  <c r="C14" i="13" s="1"/>
  <c r="D28" i="4" s="1"/>
  <c r="D15" i="18" s="1"/>
  <c r="E18" i="14"/>
  <c r="C19" i="14"/>
  <c r="K9" i="18"/>
  <c r="J28" i="7"/>
  <c r="K23" i="7"/>
  <c r="K28" i="7" s="1"/>
  <c r="K13" i="4"/>
  <c r="D22" i="14" l="1"/>
  <c r="C7" i="20"/>
  <c r="D29" i="4"/>
  <c r="D30" i="4" s="1"/>
  <c r="E19" i="14"/>
  <c r="C20" i="14"/>
  <c r="K11" i="18"/>
  <c r="K15" i="4"/>
  <c r="J4" i="20" s="1"/>
  <c r="J5" i="20" s="1"/>
  <c r="J6" i="20" s="1"/>
  <c r="I17" i="4"/>
  <c r="I48" i="7" s="1"/>
  <c r="D23" i="14" l="1"/>
  <c r="D17" i="18"/>
  <c r="D26" i="18" s="1"/>
  <c r="D27" i="18" s="1"/>
  <c r="C8" i="20"/>
  <c r="E20" i="14"/>
  <c r="E20" i="4" s="1"/>
  <c r="E22" i="4" s="1"/>
  <c r="C21" i="14"/>
  <c r="D24" i="14" l="1"/>
  <c r="D25" i="14" s="1"/>
  <c r="F19" i="18"/>
  <c r="E21" i="14"/>
  <c r="E21" i="7"/>
  <c r="C22" i="14"/>
  <c r="D31" i="4"/>
  <c r="D18" i="7" s="1"/>
  <c r="E45" i="7"/>
  <c r="E47" i="7" s="1"/>
  <c r="E49" i="7" s="1"/>
  <c r="E13" i="18"/>
  <c r="E24" i="4"/>
  <c r="D26" i="14" l="1"/>
  <c r="D27" i="14" s="1"/>
  <c r="D28" i="14" s="1"/>
  <c r="D29" i="14" s="1"/>
  <c r="G46" i="7"/>
  <c r="G19" i="18"/>
  <c r="F46" i="7"/>
  <c r="E27" i="4"/>
  <c r="D7" i="13"/>
  <c r="D9" i="13" s="1"/>
  <c r="D11" i="13" s="1"/>
  <c r="D13" i="13" s="1"/>
  <c r="D14" i="13" s="1"/>
  <c r="E28" i="4" s="1"/>
  <c r="E15" i="18" s="1"/>
  <c r="E22" i="14"/>
  <c r="C23" i="14"/>
  <c r="E40" i="7"/>
  <c r="E41" i="7" s="1"/>
  <c r="E33" i="7"/>
  <c r="J17" i="4"/>
  <c r="J3" i="15"/>
  <c r="K3" i="15"/>
  <c r="D30" i="14" l="1"/>
  <c r="D31" i="14" s="1"/>
  <c r="D32" i="14" s="1"/>
  <c r="D33" i="14" s="1"/>
  <c r="H46" i="7"/>
  <c r="H19" i="18"/>
  <c r="E23" i="14"/>
  <c r="C24" i="14"/>
  <c r="D7" i="20"/>
  <c r="E29" i="4"/>
  <c r="E30" i="4" s="1"/>
  <c r="J24" i="4"/>
  <c r="J27" i="4" s="1"/>
  <c r="J48" i="7"/>
  <c r="K17" i="4"/>
  <c r="D34" i="14" l="1"/>
  <c r="D35" i="14" s="1"/>
  <c r="D36" i="14" s="1"/>
  <c r="I46" i="7" s="1"/>
  <c r="I19" i="18"/>
  <c r="E17" i="18"/>
  <c r="E26" i="18" s="1"/>
  <c r="E27" i="18" s="1"/>
  <c r="D8" i="20"/>
  <c r="E24" i="14"/>
  <c r="F20" i="4" s="1"/>
  <c r="F22" i="4" s="1"/>
  <c r="C25" i="14"/>
  <c r="I7" i="20"/>
  <c r="I7" i="13"/>
  <c r="I9" i="13" s="1"/>
  <c r="I11" i="13" s="1"/>
  <c r="I13" i="13" s="1"/>
  <c r="I14" i="13" s="1"/>
  <c r="J28" i="4" s="1"/>
  <c r="J15" i="18" s="1"/>
  <c r="K24" i="4"/>
  <c r="K27" i="4" s="1"/>
  <c r="K48" i="7"/>
  <c r="E31" i="4" l="1"/>
  <c r="E18" i="7" s="1"/>
  <c r="F13" i="18"/>
  <c r="F24" i="4"/>
  <c r="F45" i="7"/>
  <c r="F47" i="7" s="1"/>
  <c r="F49" i="7" s="1"/>
  <c r="E25" i="14"/>
  <c r="F21" i="7"/>
  <c r="C26" i="14"/>
  <c r="J7" i="20"/>
  <c r="J29" i="4"/>
  <c r="J30" i="4" s="1"/>
  <c r="J7" i="13"/>
  <c r="J9" i="13" s="1"/>
  <c r="J11" i="13" s="1"/>
  <c r="J13" i="13" s="1"/>
  <c r="J14" i="13" s="1"/>
  <c r="K28" i="4" s="1"/>
  <c r="C27" i="14" l="1"/>
  <c r="E26" i="14"/>
  <c r="F33" i="7"/>
  <c r="F40" i="7"/>
  <c r="F41" i="7" s="1"/>
  <c r="F27" i="4"/>
  <c r="E7" i="13"/>
  <c r="E9" i="13" s="1"/>
  <c r="E11" i="13" s="1"/>
  <c r="E13" i="13" s="1"/>
  <c r="E14" i="13" s="1"/>
  <c r="F28" i="4" s="1"/>
  <c r="F15" i="18" s="1"/>
  <c r="J31" i="4"/>
  <c r="J18" i="7" s="1"/>
  <c r="I8" i="20"/>
  <c r="K29" i="4"/>
  <c r="K30" i="4" s="1"/>
  <c r="K15" i="18"/>
  <c r="E7" i="20" l="1"/>
  <c r="F29" i="4"/>
  <c r="F30" i="4" s="1"/>
  <c r="C28" i="14"/>
  <c r="E27" i="14"/>
  <c r="J17" i="18"/>
  <c r="J26" i="18" s="1"/>
  <c r="K31" i="4"/>
  <c r="K18" i="7" s="1"/>
  <c r="J8" i="20"/>
  <c r="C29" i="14" l="1"/>
  <c r="E28" i="14"/>
  <c r="G20" i="4" s="1"/>
  <c r="G22" i="4" s="1"/>
  <c r="G21" i="7"/>
  <c r="F17" i="18"/>
  <c r="F26" i="18" s="1"/>
  <c r="F27" i="18" s="1"/>
  <c r="E8" i="20"/>
  <c r="J27" i="18"/>
  <c r="K17" i="18"/>
  <c r="K26" i="18" s="1"/>
  <c r="F31" i="4" l="1"/>
  <c r="F18" i="7" s="1"/>
  <c r="G13" i="18"/>
  <c r="G24" i="4"/>
  <c r="G45" i="7"/>
  <c r="G47" i="7" s="1"/>
  <c r="G49" i="7" s="1"/>
  <c r="E29" i="14"/>
  <c r="C30" i="14"/>
  <c r="G40" i="7"/>
  <c r="G41" i="7" s="1"/>
  <c r="G33" i="7"/>
  <c r="K27" i="18"/>
  <c r="C31" i="14" l="1"/>
  <c r="E30" i="14"/>
  <c r="G27" i="4"/>
  <c r="F7" i="13"/>
  <c r="F9" i="13" s="1"/>
  <c r="F11" i="13" s="1"/>
  <c r="F13" i="13" s="1"/>
  <c r="F14" i="13" s="1"/>
  <c r="G28" i="4" s="1"/>
  <c r="G15" i="18" s="1"/>
  <c r="F7" i="20" l="1"/>
  <c r="G29" i="4"/>
  <c r="G30" i="4" s="1"/>
  <c r="E31" i="14"/>
  <c r="C32" i="14"/>
  <c r="G17" i="18" l="1"/>
  <c r="G26" i="18" s="1"/>
  <c r="G27" i="18" s="1"/>
  <c r="F8" i="20"/>
  <c r="E32" i="14"/>
  <c r="H20" i="4" s="1"/>
  <c r="H22" i="4" s="1"/>
  <c r="C33" i="14"/>
  <c r="H21" i="7"/>
  <c r="G31" i="4" l="1"/>
  <c r="G18" i="7" s="1"/>
  <c r="H40" i="7"/>
  <c r="F42" i="7" s="1"/>
  <c r="H33" i="7"/>
  <c r="C34" i="14"/>
  <c r="E33" i="14"/>
  <c r="H45" i="7"/>
  <c r="H47" i="7" s="1"/>
  <c r="H49" i="7" s="1"/>
  <c r="H24" i="4"/>
  <c r="H13" i="18"/>
  <c r="H27" i="4" l="1"/>
  <c r="G7" i="13"/>
  <c r="G9" i="13" s="1"/>
  <c r="G11" i="13" s="1"/>
  <c r="G13" i="13" s="1"/>
  <c r="G14" i="13" s="1"/>
  <c r="H28" i="4" s="1"/>
  <c r="H15" i="18" s="1"/>
  <c r="C35" i="14"/>
  <c r="E34" i="14"/>
  <c r="E35" i="14" l="1"/>
  <c r="C36" i="14"/>
  <c r="E36" i="14" s="1"/>
  <c r="G7" i="20"/>
  <c r="H29" i="4"/>
  <c r="H30" i="4" s="1"/>
  <c r="I20" i="4" l="1"/>
  <c r="I22" i="4" s="1"/>
  <c r="I45" i="7" s="1"/>
  <c r="I47" i="7" s="1"/>
  <c r="H17" i="18"/>
  <c r="H26" i="18" s="1"/>
  <c r="H27" i="18" s="1"/>
  <c r="G8" i="20"/>
  <c r="I13" i="18" l="1"/>
  <c r="I24" i="4"/>
  <c r="I27" i="4" s="1"/>
  <c r="H31" i="4"/>
  <c r="H18" i="7" s="1"/>
  <c r="H7" i="13" l="1"/>
  <c r="H9" i="13" s="1"/>
  <c r="H11" i="13" s="1"/>
  <c r="H13" i="13" s="1"/>
  <c r="H14" i="13" s="1"/>
  <c r="I28" i="4" s="1"/>
  <c r="I15" i="18" s="1"/>
  <c r="H7" i="20"/>
  <c r="I29" i="4" l="1"/>
  <c r="I30" i="4" s="1"/>
  <c r="C9" i="4"/>
  <c r="H8" i="20" l="1"/>
  <c r="I17" i="18"/>
  <c r="I26" i="18" s="1"/>
  <c r="I27" i="18" s="1"/>
  <c r="I31" i="4"/>
  <c r="I18" i="7" s="1"/>
  <c r="C11" i="18"/>
  <c r="C14" i="18" s="1"/>
  <c r="C10" i="4"/>
  <c r="C15" i="4" s="1"/>
  <c r="C17" i="4" l="1"/>
  <c r="B4" i="20"/>
  <c r="B5" i="20" s="1"/>
  <c r="B6" i="20" s="1"/>
  <c r="C48" i="7" l="1"/>
  <c r="C49" i="7" s="1"/>
  <c r="F50" i="7" s="1"/>
  <c r="C24" i="4"/>
  <c r="C27" i="4" s="1"/>
  <c r="B7" i="13" l="1"/>
  <c r="B9" i="13" s="1"/>
  <c r="B11" i="13" s="1"/>
  <c r="B13" i="13" s="1"/>
  <c r="B14" i="13" s="1"/>
  <c r="C28" i="4" s="1"/>
  <c r="C15" i="18" s="1"/>
  <c r="C16" i="18" l="1"/>
  <c r="C29" i="4"/>
  <c r="C30" i="4" s="1"/>
  <c r="B7" i="20"/>
  <c r="B8" i="20" l="1"/>
  <c r="C17" i="18" l="1"/>
  <c r="C26" i="18" s="1"/>
  <c r="C31"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E25" i="18"/>
  <c r="E29" i="18"/>
  <c r="E30" i="18" s="1"/>
  <c r="I17" i="7"/>
  <c r="I20" i="7" s="1"/>
  <c r="H24" i="7"/>
  <c r="H34" i="7"/>
  <c r="H35" i="7" s="1"/>
  <c r="J17" i="7" l="1"/>
  <c r="J20" i="7" s="1"/>
  <c r="I34" i="7"/>
  <c r="I35" i="7" s="1"/>
  <c r="I24" i="7"/>
  <c r="F24" i="18"/>
  <c r="F14" i="18"/>
  <c r="F16" i="18" s="1"/>
  <c r="F18" i="18" s="1"/>
  <c r="F20" i="18" s="1"/>
  <c r="E27" i="7"/>
  <c r="E29" i="7" s="1"/>
  <c r="E14" i="7"/>
  <c r="F13" i="7" l="1"/>
  <c r="G4" i="18"/>
  <c r="F29" i="18"/>
  <c r="F30" i="18" s="1"/>
  <c r="F25" i="18"/>
  <c r="J24" i="7"/>
  <c r="K17" i="7"/>
  <c r="K20" i="7" s="1"/>
  <c r="J34" i="7"/>
  <c r="J35" i="7" s="1"/>
  <c r="K34" i="7" l="1"/>
  <c r="K35" i="7" s="1"/>
  <c r="F36" i="7" s="1"/>
  <c r="K24" i="7"/>
  <c r="G14" i="18"/>
  <c r="G16" i="18" s="1"/>
  <c r="G18" i="18" s="1"/>
  <c r="G20" i="18" s="1"/>
  <c r="G24" i="18"/>
  <c r="F14" i="7"/>
  <c r="F27" i="7"/>
  <c r="F29" i="7" s="1"/>
  <c r="G29" i="18" l="1"/>
  <c r="G30" i="18" s="1"/>
  <c r="G25" i="18"/>
  <c r="H4" i="18"/>
  <c r="G13" i="7"/>
  <c r="G27" i="7" l="1"/>
  <c r="G29" i="7" s="1"/>
  <c r="G14" i="7"/>
  <c r="H24" i="18"/>
  <c r="H14" i="18"/>
  <c r="H16" i="18" s="1"/>
  <c r="H18" i="18" s="1"/>
  <c r="H20" i="18" s="1"/>
  <c r="H25" i="18" l="1"/>
  <c r="H29" i="18"/>
  <c r="H30" i="18" s="1"/>
  <c r="I4" i="18"/>
  <c r="H13" i="7"/>
  <c r="H14" i="7" l="1"/>
  <c r="H27" i="7"/>
  <c r="H29" i="7" s="1"/>
  <c r="I24" i="18"/>
  <c r="I14" i="18"/>
  <c r="I16" i="18" s="1"/>
  <c r="I18" i="18" s="1"/>
  <c r="I20" i="18" s="1"/>
  <c r="J4" i="18" l="1"/>
  <c r="I13" i="7"/>
  <c r="I25" i="18"/>
  <c r="I29" i="18"/>
  <c r="I30" i="18" s="1"/>
  <c r="I14" i="7" l="1"/>
  <c r="I27" i="7"/>
  <c r="I29" i="7" s="1"/>
  <c r="J24" i="18"/>
  <c r="J14" i="18"/>
  <c r="J16" i="18" s="1"/>
  <c r="J18" i="18" s="1"/>
  <c r="J20" i="18" s="1"/>
  <c r="K4" i="18" l="1"/>
  <c r="J13" i="7"/>
  <c r="J29" i="18"/>
  <c r="J30" i="18" s="1"/>
  <c r="J25" i="18"/>
  <c r="J14" i="7" l="1"/>
  <c r="J27" i="7"/>
  <c r="J29" i="7" s="1"/>
  <c r="K24" i="18"/>
  <c r="K14" i="18"/>
  <c r="K16" i="18" s="1"/>
  <c r="K18" i="18" s="1"/>
  <c r="K20" i="18" s="1"/>
  <c r="K13" i="7" s="1"/>
  <c r="K27" i="7" l="1"/>
  <c r="K29" i="7" s="1"/>
  <c r="F30" i="7" s="1"/>
  <c r="K14" i="7"/>
  <c r="K29" i="18"/>
  <c r="K30" i="18" s="1"/>
  <c r="L30" i="18" s="1"/>
  <c r="K25" i="18"/>
</calcChain>
</file>

<file path=xl/sharedStrings.xml><?xml version="1.0" encoding="utf-8"?>
<sst xmlns="http://schemas.openxmlformats.org/spreadsheetml/2006/main" count="441" uniqueCount="314">
  <si>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</si>
  <si>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</si>
  <si>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</si>
  <si>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</si>
  <si>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</si>
  <si>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</si>
  <si>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</si>
  <si>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</si>
  <si>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</si>
  <si>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</si>
  <si>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</si>
  <si>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</si>
  <si>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</si>
  <si>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</si>
  <si>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</si>
  <si>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</si>
  <si>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</si>
  <si>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</si>
  <si>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</si>
  <si>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</si>
  <si>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</si>
  <si>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</si>
  <si>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</si>
  <si>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</si>
  <si>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</si>
  <si>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</si>
  <si>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</si>
  <si>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</si>
  <si>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</si>
  <si>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</si>
  <si>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</si>
  <si>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</si>
  <si>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</si>
  <si>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</si>
  <si>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</si>
  <si>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</si>
  <si>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</si>
  <si>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</si>
  <si>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</si>
  <si>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</si>
  <si>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</si>
  <si>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</si>
  <si>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</si>
  <si>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</si>
  <si>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</si>
  <si>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</si>
  <si>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</si>
  <si>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</si>
  <si>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</si>
  <si>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</si>
  <si>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</si>
  <si>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</si>
  <si>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</si>
  <si>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</si>
  <si>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</si>
  <si>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</si>
  <si>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</si>
  <si>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</si>
  <si>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</si>
  <si>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</si>
  <si>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</si>
  <si>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</si>
  <si>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</si>
  <si>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</si>
  <si>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</si>
  <si>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</si>
  <si>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</si>
  <si>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</si>
  <si>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</si>
  <si>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</si>
  <si>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</si>
  <si>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</si>
  <si>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</si>
  <si>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</si>
  <si>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</si>
  <si>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</si>
  <si>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</si>
  <si>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 electricity expense</t>
  </si>
  <si>
    <t>Depreciation</t>
  </si>
  <si>
    <t>Fixed cost</t>
  </si>
  <si>
    <t>Electricity charges</t>
  </si>
  <si>
    <t>Interest on Working capital</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</si>
  <si>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</si>
  <si>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</si>
  <si>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</si>
  <si>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</si>
  <si>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</si>
  <si>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</si>
  <si>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</si>
  <si>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</si>
  <si>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</si>
  <si>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</si>
  <si>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</si>
  <si>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</si>
  <si>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</si>
  <si>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</si>
  <si>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</si>
  <si>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</si>
  <si>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</si>
  <si>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</si>
  <si>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</si>
  <si>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</si>
  <si>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</si>
  <si>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</si>
  <si>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</si>
  <si>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</si>
  <si>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</si>
  <si>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</si>
  <si>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</si>
  <si>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</si>
  <si>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</si>
  <si>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</si>
  <si>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</si>
  <si>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</si>
  <si>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</si>
  <si>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</si>
  <si>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</si>
  <si>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</si>
  <si>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</si>
  <si>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</si>
  <si>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</si>
  <si>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</si>
  <si>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</si>
  <si>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</si>
  <si>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</si>
  <si>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</si>
  <si>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</si>
  <si>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</si>
  <si>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</si>
  <si>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</si>
  <si>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</si>
  <si>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</si>
  <si>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</si>
  <si>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</si>
  <si>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</si>
  <si>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</si>
  <si>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</si>
  <si>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</si>
  <si>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</si>
  <si>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</si>
  <si>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</si>
  <si>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</si>
  <si>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</si>
  <si>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</si>
  <si>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</si>
  <si>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</si>
  <si>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</si>
  <si>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</si>
  <si>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</si>
  <si>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</si>
  <si>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</si>
  <si>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</si>
  <si>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</si>
  <si>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</si>
  <si>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</si>
  <si>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</si>
  <si>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</si>
  <si>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</si>
  <si>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</si>
  <si>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</si>
  <si>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</si>
  <si>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</si>
  <si>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</si>
  <si>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</si>
  <si>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</si>
  <si>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</si>
  <si>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</si>
  <si>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</si>
  <si>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Products</t>
  </si>
  <si>
    <t>Output</t>
  </si>
  <si>
    <t>Electricity expense</t>
  </si>
  <si>
    <t>Usage in units</t>
  </si>
  <si>
    <t>4. Electricity usage in units is given below</t>
  </si>
  <si>
    <t>Cost of Production</t>
  </si>
  <si>
    <t>Sub Total</t>
  </si>
  <si>
    <t>Total depreciation for the year</t>
  </si>
  <si>
    <t>Machine operators</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</si>
  <si>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</si>
  <si>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</si>
  <si>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</si>
  <si>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</si>
  <si>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</si>
  <si>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</si>
  <si>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</si>
  <si>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</si>
  <si>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</si>
  <si>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</si>
  <si>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</si>
  <si>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</si>
  <si>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</si>
  <si>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</si>
  <si>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</si>
  <si>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</si>
  <si>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</si>
  <si>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</si>
  <si>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</si>
  <si>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</si>
  <si>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</si>
  <si>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</si>
  <si>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</si>
  <si>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</si>
  <si>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</si>
  <si>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</si>
  <si>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</si>
  <si>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</si>
  <si>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</si>
  <si>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</si>
  <si>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</si>
  <si>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</si>
  <si>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</si>
  <si>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</si>
  <si>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</si>
  <si>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</si>
  <si>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</si>
  <si>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</si>
  <si>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</si>
  <si>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</si>
  <si>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</si>
  <si>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</si>
  <si>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</si>
  <si>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</si>
  <si>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DPR without subsidy</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</si>
  <si>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</si>
  <si>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</si>
  <si>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</si>
  <si>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</si>
  <si>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</si>
  <si>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</si>
  <si>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</si>
  <si>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</si>
  <si>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</si>
  <si>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</si>
  <si>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</si>
  <si>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</si>
  <si>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</si>
  <si>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</si>
  <si>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</si>
  <si>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</si>
  <si>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</si>
  <si>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</si>
  <si>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</si>
  <si>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</si>
  <si>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</si>
  <si>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</si>
  <si>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</si>
  <si>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Asssumed that 30 days of purchases are average creditors maintained</t>
  </si>
  <si>
    <t>1. Civil Work</t>
  </si>
  <si>
    <t>Total Civil Work</t>
  </si>
  <si>
    <t>Estimated ocupational capacity</t>
  </si>
  <si>
    <t>Less: Pre incorporation expense</t>
  </si>
  <si>
    <t>Contribution per kg</t>
  </si>
  <si>
    <t>Electricity fixed charge</t>
  </si>
  <si>
    <t>Less: Fixed costs</t>
  </si>
  <si>
    <t>Assumed that 60 days of sales are average debtors maintained by the business</t>
  </si>
  <si>
    <t>Vermicompst Verms With Cow Dung Packing</t>
  </si>
  <si>
    <t>Hand Operated Trolly</t>
  </si>
  <si>
    <t>Compost Filter Machine</t>
  </si>
  <si>
    <t>Bag Sewing Machine</t>
  </si>
  <si>
    <t>Culture Trays</t>
  </si>
  <si>
    <t>Weighting Scale</t>
  </si>
  <si>
    <t>Buskets dung fark</t>
  </si>
  <si>
    <t>Basket Trolly &amp; Filter Tools</t>
  </si>
  <si>
    <t>Rate</t>
  </si>
  <si>
    <t>Site development</t>
  </si>
  <si>
    <t>MT</t>
  </si>
  <si>
    <t>no. of shift</t>
  </si>
  <si>
    <t>shift</t>
  </si>
  <si>
    <t>no of working hours</t>
  </si>
  <si>
    <t>hrs.</t>
  </si>
  <si>
    <t>no. of working days/per annum</t>
  </si>
  <si>
    <t>days</t>
  </si>
  <si>
    <t>per lots on per baid days</t>
  </si>
  <si>
    <t>total lots on per baid days</t>
  </si>
  <si>
    <t>lot</t>
  </si>
  <si>
    <t>production per lot per baid</t>
  </si>
  <si>
    <t>bag</t>
  </si>
  <si>
    <t>production per lot per baid per bag</t>
  </si>
  <si>
    <t>kg.</t>
  </si>
  <si>
    <t>no of baids</t>
  </si>
  <si>
    <t>baid</t>
  </si>
  <si>
    <t>production per lot on total baids</t>
  </si>
  <si>
    <t>production per year (365 days)</t>
  </si>
  <si>
    <t>Production of vermi compost fertilizer</t>
  </si>
  <si>
    <t>Production of Vermi Wash</t>
  </si>
  <si>
    <t>per baid vermi wash produced</t>
  </si>
  <si>
    <t>ltrs</t>
  </si>
  <si>
    <t>total no of baids</t>
  </si>
  <si>
    <t>total production per baid in per day</t>
  </si>
  <si>
    <t>total production per year (365 days)</t>
  </si>
  <si>
    <t>Sales qty - Compost</t>
  </si>
  <si>
    <t>Sales qty - Vermi wash</t>
  </si>
  <si>
    <t>Sales - Compost</t>
  </si>
  <si>
    <t>Sales - Vermi Wash</t>
  </si>
  <si>
    <t>Total sales</t>
  </si>
  <si>
    <t>Add: benefits @ 5%</t>
  </si>
  <si>
    <t>Compost</t>
  </si>
  <si>
    <t>Vermi wash</t>
  </si>
  <si>
    <t>Input purchase cost - Cow dung and worms</t>
  </si>
  <si>
    <t>It is assumed that input cost for cow dung and worms is 50% of the sales</t>
  </si>
  <si>
    <t>Purchase price of inputs</t>
  </si>
  <si>
    <t>Contribution margin %</t>
  </si>
  <si>
    <t>Sales ratio</t>
  </si>
  <si>
    <t>Proportionate contribution</t>
  </si>
  <si>
    <t>BEP total in Rs.</t>
  </si>
  <si>
    <t>3. Electricity are semi-fixed cost. Rs. 50,000 pa is fixed, balance is variable at Rs. 10 per unit usage</t>
  </si>
  <si>
    <t>Sales prices per kg Compost</t>
  </si>
  <si>
    <t>Sales prices per kg Vermi Wash</t>
  </si>
  <si>
    <t>Projected Balance sheet</t>
  </si>
  <si>
    <t>Annexure 14 - Cash flow statement</t>
  </si>
  <si>
    <t>Distribution of profits (80%)</t>
  </si>
  <si>
    <t>Ann 14'!A1</t>
  </si>
  <si>
    <t>Electricity are semi-fixed cost. Rs. 50,000 pa is fixed, balance is variable at Rs. 10 per unit usage</t>
  </si>
  <si>
    <t>Temprature sensors</t>
  </si>
  <si>
    <t>For the first year of operation the break-even capacity comes at 34.40%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</si>
</sst>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0_);_(* \(#,##0.0000\);_(* &quot;-&quot;??_);_(@_)"/>
    <numFmt numFmtId="169" formatCode="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
      <name val="Adobe Devanagari"/>
      <family val="1"/>
    </font>
    <font>
      <u/>
      <sz val="11"/>
      <color theme="10"/>
      <name val="Adobe Devanagari"/>
      <family val="1"/>
    </font>
    <font>
      <b/>
      <u/>
      <sz val="11"/>
      <color theme="1"/>
      <name val="Adobe Devanagari"/>
      <family val="1"/>
    </font>
    <font>
      <sz val="11"/>
      <name val="Adobe Devanagari"/>
      <family val="1"/>
    </font>
    <font>
      <b/>
      <sz val="11"/>
      <name val="Adobe Devanagari"/>
      <family val="1"/>
    </font>
    <font>
      <sz val="11"/>
      <color theme="0"/>
      <name val="Adobe Devanagari"/>
      <family val="1"/>
    </font>
  </fonts>
  <fills count="5">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37">
    <xf numFmtId="0" fontId="0" fillId="0" borderId="0" xfId="0"/>
    <xf numFmtId="2" fontId="0" fillId="0" borderId="0" xfId="0" applyNumberFormat="1"/>
    <xf numFmtId="0" fontId="3" fillId="0" borderId="0" xfId="0" applyFont="1"/>
    <xf numFmtId="0" fontId="2" fillId="0" borderId="0" xfId="0" applyFont="1"/>
    <xf numFmtId="0" fontId="0" fillId="0" borderId="0" xfId="0" quotePrefix="1"/>
    <xf numFmtId="167" fontId="0" fillId="0" borderId="0" xfId="0" applyNumberFormat="1"/>
    <xf numFmtId="43" fontId="0" fillId="0" borderId="0" xfId="1" applyFont="1"/>
    <xf numFmtId="0" fontId="5" fillId="0" borderId="0" xfId="0" applyFont="1"/>
    <xf numFmtId="0" fontId="6" fillId="0" borderId="0" xfId="0" applyFont="1"/>
    <xf numFmtId="0" fontId="7" fillId="0" borderId="0" xfId="0" applyFont="1"/>
    <xf numFmtId="0" fontId="6" fillId="0" borderId="1" xfId="0" applyFont="1" applyFill="1" applyBorder="1"/>
    <xf numFmtId="164" fontId="6" fillId="0" borderId="1" xfId="1" applyNumberFormat="1" applyFont="1" applyBorder="1"/>
    <xf numFmtId="0" fontId="6" fillId="0" borderId="1" xfId="0" applyFont="1" applyBorder="1"/>
    <xf numFmtId="164" fontId="6" fillId="0" borderId="1" xfId="0" applyNumberFormat="1" applyFont="1" applyBorder="1"/>
    <xf numFmtId="0" fontId="6" fillId="0" borderId="5" xfId="0" applyFont="1" applyBorder="1"/>
    <xf numFmtId="0" fontId="6" fillId="0" borderId="6" xfId="0" applyFont="1" applyBorder="1"/>
    <xf numFmtId="0" fontId="6" fillId="0" borderId="7" xfId="0" applyFont="1" applyBorder="1"/>
    <xf numFmtId="0" fontId="6" fillId="0" borderId="13" xfId="0" applyFont="1" applyBorder="1"/>
    <xf numFmtId="0" fontId="6" fillId="0" borderId="14" xfId="0" applyFont="1" applyBorder="1"/>
    <xf numFmtId="164" fontId="6" fillId="0" borderId="10" xfId="0" applyNumberFormat="1" applyFont="1" applyBorder="1"/>
    <xf numFmtId="0" fontId="6" fillId="0" borderId="2" xfId="0" applyFont="1" applyBorder="1"/>
    <xf numFmtId="0" fontId="6" fillId="0" borderId="3" xfId="0" applyFont="1" applyBorder="1"/>
    <xf numFmtId="164" fontId="6" fillId="0" borderId="4" xfId="0" applyNumberFormat="1" applyFont="1" applyBorder="1"/>
    <xf numFmtId="164" fontId="6" fillId="0" borderId="0" xfId="0" applyNumberFormat="1" applyFont="1"/>
    <xf numFmtId="9" fontId="6" fillId="0" borderId="0" xfId="0" applyNumberFormat="1" applyFont="1"/>
    <xf numFmtId="0" fontId="6" fillId="4" borderId="1" xfId="0" applyFont="1" applyFill="1" applyBorder="1"/>
    <xf numFmtId="0" fontId="8" fillId="0" borderId="1" xfId="3" quotePrefix="1" applyFont="1" applyBorder="1"/>
    <xf numFmtId="0" fontId="8" fillId="0" borderId="1" xfId="3" applyFont="1" applyBorder="1"/>
    <xf numFmtId="0" fontId="5" fillId="4"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43" fontId="6" fillId="0" borderId="0" xfId="0" applyNumberFormat="1" applyFont="1"/>
    <xf numFmtId="0" fontId="6" fillId="0" borderId="11" xfId="0" applyFont="1" applyBorder="1" applyAlignment="1">
      <alignment wrapText="1"/>
    </xf>
    <xf numFmtId="0" fontId="6" fillId="0" borderId="12" xfId="0" applyFont="1" applyBorder="1" applyAlignment="1">
      <alignment horizontal="left"/>
    </xf>
    <xf numFmtId="0" fontId="6" fillId="0" borderId="12" xfId="0" applyFont="1" applyBorder="1"/>
    <xf numFmtId="43" fontId="6" fillId="0" borderId="10" xfId="0" applyNumberFormat="1" applyFont="1" applyBorder="1"/>
    <xf numFmtId="0" fontId="6" fillId="0" borderId="0" xfId="0" applyFont="1" applyAlignment="1">
      <alignment horizontal="left"/>
    </xf>
    <xf numFmtId="0" fontId="6" fillId="4" borderId="3" xfId="0" applyFont="1" applyFill="1" applyBorder="1"/>
    <xf numFmtId="0" fontId="6" fillId="4" borderId="4" xfId="0" applyFont="1" applyFill="1" applyBorder="1"/>
    <xf numFmtId="0" fontId="6" fillId="4" borderId="1" xfId="0" applyFont="1" applyFill="1" applyBorder="1" applyAlignment="1">
      <alignment wrapText="1"/>
    </xf>
    <xf numFmtId="0" fontId="9" fillId="4" borderId="2" xfId="0" applyFont="1" applyFill="1" applyBorder="1"/>
    <xf numFmtId="0" fontId="5" fillId="4" borderId="3" xfId="0" applyFont="1" applyFill="1" applyBorder="1"/>
    <xf numFmtId="0" fontId="5" fillId="4" borderId="4" xfId="0" applyFont="1" applyFill="1" applyBorder="1"/>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43" fontId="6" fillId="0" borderId="4" xfId="0" applyNumberFormat="1" applyFont="1" applyBorder="1"/>
    <xf numFmtId="0" fontId="6" fillId="4" borderId="2" xfId="0" applyFont="1" applyFill="1" applyBorder="1"/>
    <xf numFmtId="0" fontId="6" fillId="0" borderId="6" xfId="0" applyFont="1" applyBorder="1" applyAlignment="1">
      <alignment horizontal="left" wrapText="1"/>
    </xf>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vertical="center" wrapText="1"/>
    </xf>
    <xf numFmtId="0" fontId="6" fillId="0" borderId="0" xfId="0" applyFont="1" applyBorder="1" applyAlignment="1">
      <alignment horizontal="left"/>
    </xf>
    <xf numFmtId="164" fontId="6" fillId="0" borderId="0" xfId="1" applyNumberFormat="1" applyFont="1" applyBorder="1"/>
    <xf numFmtId="164" fontId="6" fillId="0" borderId="9" xfId="1" applyNumberFormat="1" applyFont="1" applyBorder="1" applyAlignment="1">
      <alignment horizontal="left"/>
    </xf>
    <xf numFmtId="0" fontId="5" fillId="0" borderId="2" xfId="0" applyFont="1" applyBorder="1"/>
    <xf numFmtId="0" fontId="5" fillId="0" borderId="3" xfId="0" applyFont="1" applyBorder="1"/>
    <xf numFmtId="164" fontId="5" fillId="0" borderId="4" xfId="0" applyNumberFormat="1" applyFont="1" applyBorder="1"/>
    <xf numFmtId="0" fontId="6" fillId="4" borderId="1" xfId="0" applyFont="1" applyFill="1" applyBorder="1" applyAlignment="1">
      <alignment horizontal="center"/>
    </xf>
    <xf numFmtId="0" fontId="5" fillId="4" borderId="1" xfId="0" applyFont="1" applyFill="1" applyBorder="1" applyAlignment="1">
      <alignment horizontal="center"/>
    </xf>
    <xf numFmtId="0" fontId="5" fillId="0" borderId="6" xfId="0" applyFont="1" applyBorder="1"/>
    <xf numFmtId="0" fontId="6" fillId="0" borderId="15" xfId="0" applyFont="1" applyBorder="1"/>
    <xf numFmtId="164" fontId="6" fillId="0" borderId="11" xfId="0" applyNumberFormat="1" applyFont="1" applyBorder="1"/>
    <xf numFmtId="43" fontId="6" fillId="0" borderId="11" xfId="0" applyNumberFormat="1" applyFont="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0" fontId="6" fillId="0" borderId="0" xfId="0" applyFont="1" applyFill="1" applyBorder="1"/>
    <xf numFmtId="164" fontId="6" fillId="0" borderId="8" xfId="0" applyNumberFormat="1" applyFont="1" applyFill="1" applyBorder="1"/>
    <xf numFmtId="0" fontId="6" fillId="4" borderId="8" xfId="0" applyFont="1" applyFill="1" applyBorder="1"/>
    <xf numFmtId="0" fontId="6" fillId="4" borderId="0" xfId="0" applyFont="1" applyFill="1" applyBorder="1"/>
    <xf numFmtId="0" fontId="6" fillId="4" borderId="11" xfId="0" applyFont="1" applyFill="1" applyBorder="1"/>
    <xf numFmtId="0" fontId="6" fillId="4" borderId="9" xfId="0" applyFont="1" applyFill="1" applyBorder="1"/>
    <xf numFmtId="164" fontId="6" fillId="4" borderId="9" xfId="0" applyNumberFormat="1" applyFont="1" applyFill="1" applyBorder="1"/>
    <xf numFmtId="2" fontId="6" fillId="0" borderId="1" xfId="0" applyNumberFormat="1" applyFont="1" applyBorder="1"/>
    <xf numFmtId="2" fontId="6" fillId="0" borderId="1" xfId="1" applyNumberFormat="1" applyFont="1" applyBorder="1"/>
    <xf numFmtId="9" fontId="6"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9" fontId="6" fillId="4" borderId="1" xfId="0" applyNumberFormat="1" applyFont="1" applyFill="1" applyBorder="1" applyAlignment="1">
      <alignment horizontal="center"/>
    </xf>
    <xf numFmtId="43" fontId="6" fillId="0" borderId="1" xfId="1" applyFont="1" applyBorder="1"/>
    <xf numFmtId="0" fontId="5" fillId="4" borderId="1" xfId="0" applyFont="1" applyFill="1" applyBorder="1" applyAlignment="1">
      <alignment horizontal="center" vertical="center"/>
    </xf>
    <xf numFmtId="164" fontId="6" fillId="0" borderId="0" xfId="1" applyNumberFormat="1" applyFont="1"/>
    <xf numFmtId="0" fontId="6" fillId="0" borderId="0" xfId="0" quotePrefix="1" applyFont="1"/>
    <xf numFmtId="0" fontId="6" fillId="3" borderId="0" xfId="0" applyFont="1" applyFill="1"/>
    <xf numFmtId="168" fontId="6" fillId="0" borderId="0" xfId="0" applyNumberFormat="1" applyFont="1"/>
    <xf numFmtId="10" fontId="6" fillId="0" borderId="0" xfId="0" applyNumberFormat="1" applyFont="1"/>
    <xf numFmtId="0" fontId="7" fillId="4" borderId="0" xfId="0" applyFont="1" applyFill="1"/>
    <xf numFmtId="0" fontId="6" fillId="4" borderId="0" xfId="0" applyFont="1" applyFill="1"/>
    <xf numFmtId="10" fontId="6" fillId="2" borderId="0" xfId="0" applyNumberFormat="1" applyFont="1" applyFill="1"/>
    <xf numFmtId="0" fontId="6" fillId="2" borderId="0" xfId="0" applyFont="1" applyFill="1" applyAlignment="1">
      <alignment horizontal="right"/>
    </xf>
    <xf numFmtId="0" fontId="10" fillId="0" borderId="0" xfId="0" applyFont="1"/>
    <xf numFmtId="169" fontId="6" fillId="0" borderId="1" xfId="0" applyNumberFormat="1" applyFont="1" applyBorder="1"/>
    <xf numFmtId="43" fontId="6" fillId="0" borderId="0" xfId="1" applyFont="1" applyBorder="1"/>
    <xf numFmtId="0" fontId="6" fillId="0" borderId="1" xfId="0" applyFont="1" applyBorder="1" applyAlignment="1">
      <alignment vertical="top"/>
    </xf>
    <xf numFmtId="0" fontId="6" fillId="0" borderId="2" xfId="0" applyFont="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vertical="top" wrapText="1"/>
    </xf>
    <xf numFmtId="0" fontId="6" fillId="0" borderId="0" xfId="0" applyFont="1" applyAlignment="1">
      <alignment vertical="top"/>
    </xf>
    <xf numFmtId="165" fontId="6" fillId="0" borderId="2" xfId="0" applyNumberFormat="1" applyFont="1" applyBorder="1" applyAlignment="1">
      <alignment vertical="top" wrapText="1"/>
    </xf>
    <xf numFmtId="0" fontId="11" fillId="0" borderId="0" xfId="0" applyFont="1"/>
    <xf numFmtId="0" fontId="10" fillId="0" borderId="1" xfId="0" applyFont="1" applyBorder="1"/>
    <xf numFmtId="164" fontId="10" fillId="0" borderId="1" xfId="1" applyNumberFormat="1" applyFont="1" applyBorder="1"/>
    <xf numFmtId="164" fontId="12" fillId="0" borderId="0" xfId="1" applyNumberFormat="1" applyFont="1"/>
    <xf numFmtId="10" fontId="12" fillId="0" borderId="0" xfId="1" applyNumberFormat="1" applyFont="1"/>
    <xf numFmtId="0" fontId="12" fillId="0" borderId="0" xfId="0" applyFont="1"/>
    <xf numFmtId="166" fontId="12" fillId="0" borderId="0" xfId="1" applyNumberFormat="1" applyFont="1"/>
    <xf numFmtId="164" fontId="12" fillId="0" borderId="0" xfId="0" applyNumberFormat="1" applyFont="1"/>
    <xf numFmtId="0" fontId="10" fillId="4" borderId="1" xfId="0" applyFont="1" applyFill="1" applyBorder="1" applyAlignment="1">
      <alignment horizontal="center"/>
    </xf>
    <xf numFmtId="0" fontId="6" fillId="0" borderId="8" xfId="0" applyFont="1" applyBorder="1" applyAlignment="1">
      <alignment vertical="top"/>
    </xf>
    <xf numFmtId="0" fontId="6" fillId="0" borderId="17" xfId="0" applyFont="1" applyBorder="1"/>
    <xf numFmtId="0" fontId="6" fillId="0" borderId="18" xfId="0" applyFont="1" applyFill="1" applyBorder="1"/>
    <xf numFmtId="0" fontId="6" fillId="0" borderId="16" xfId="0" applyFont="1" applyBorder="1"/>
    <xf numFmtId="0" fontId="6" fillId="0" borderId="19" xfId="0" applyFont="1" applyBorder="1"/>
    <xf numFmtId="167" fontId="6" fillId="0" borderId="0" xfId="0" applyNumberFormat="1" applyFont="1"/>
    <xf numFmtId="0" fontId="5" fillId="4" borderId="1" xfId="0" applyFont="1" applyFill="1" applyBorder="1" applyAlignment="1">
      <alignment horizontal="center"/>
    </xf>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0" fontId="6" fillId="0" borderId="1" xfId="0" applyFont="1" applyBorder="1" applyAlignment="1">
      <alignment horizontal="left"/>
    </xf>
    <xf numFmtId="0" fontId="5" fillId="4" borderId="1" xfId="0" applyFont="1" applyFill="1" applyBorder="1" applyAlignment="1">
      <alignment vertical="center"/>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workbookViewId="0">
      <selection activeCell="E18" sqref="E18"/>
    </sheetView>
  </sheetViews>
  <sheetFormatPr defaultRowHeight="17" x14ac:dyDescent="0.6"/>
  <cols>
    <col min="1" max="1" width="57.90625" style="8" bestFit="1" customWidth="1"/>
    <col min="2" max="2" width="14.453125" style="8" bestFit="1" customWidth="1"/>
    <col min="3" max="16384" width="8.7265625" style="8"/>
  </cols>
  <sheetData>
    <row r="1" spans="1:2" x14ac:dyDescent="0.6">
      <c r="A1" s="7" t="s">
        <v>204</v>
      </c>
    </row>
    <row r="3" spans="1:2" x14ac:dyDescent="0.6">
      <c r="A3" s="28" t="s">
        <v>205</v>
      </c>
      <c r="B3" s="28" t="s">
        <v>206</v>
      </c>
    </row>
    <row r="4" spans="1:2" x14ac:dyDescent="0.6">
      <c r="A4" s="12" t="str">
        <f>'[1]Ann 1'!A3</f>
        <v>Annexure 1 - Estimated cost of the project</v>
      </c>
      <c r="B4" s="26" t="s">
        <v>207</v>
      </c>
    </row>
    <row r="5" spans="1:2" x14ac:dyDescent="0.6">
      <c r="A5" s="12" t="str">
        <f>'[1]Ann 2'!A1</f>
        <v>Annexure 2 - Means of Finance</v>
      </c>
      <c r="B5" s="26" t="s">
        <v>208</v>
      </c>
    </row>
    <row r="6" spans="1:2" x14ac:dyDescent="0.6">
      <c r="A6" s="12" t="str">
        <f>'Ann 3'!A1</f>
        <v>Annexure 3 - Complete Estimate of Civil and Plant and Machinery</v>
      </c>
      <c r="B6" s="26" t="s">
        <v>226</v>
      </c>
    </row>
    <row r="7" spans="1:2" x14ac:dyDescent="0.6">
      <c r="A7" s="12" t="str">
        <f>'[1]Ann 4'!A1</f>
        <v>Annexure 4 - Estimated Cost of Production</v>
      </c>
      <c r="B7" s="26" t="s">
        <v>209</v>
      </c>
    </row>
    <row r="8" spans="1:2" x14ac:dyDescent="0.6">
      <c r="A8" s="12" t="str">
        <f>'[1]Ann 5'!A1</f>
        <v>Annexure 5- Projected balance sheet</v>
      </c>
      <c r="B8" s="26" t="s">
        <v>210</v>
      </c>
    </row>
    <row r="9" spans="1:2" x14ac:dyDescent="0.6">
      <c r="A9" s="12" t="str">
        <f>'Ann 8'!A1</f>
        <v>Annexure 8 - Details of Mnpower</v>
      </c>
      <c r="B9" s="26" t="s">
        <v>211</v>
      </c>
    </row>
    <row r="10" spans="1:2" x14ac:dyDescent="0.6">
      <c r="A10" s="12" t="str">
        <f>'Ann 9'!A1</f>
        <v>Annexure 9 - Computation of Depreciation</v>
      </c>
      <c r="B10" s="26" t="s">
        <v>212</v>
      </c>
    </row>
    <row r="11" spans="1:2" x14ac:dyDescent="0.6">
      <c r="A11" s="12" t="str">
        <f>'Ann 10'!A1</f>
        <v>Annexure 10 - Calculation of Income tax</v>
      </c>
      <c r="B11" s="26" t="s">
        <v>213</v>
      </c>
    </row>
    <row r="12" spans="1:2" x14ac:dyDescent="0.6">
      <c r="A12" s="12" t="str">
        <f>'[1]Ann 11'!A1</f>
        <v>Annexure 11- Break even analysis (At maximum capacity utilization)</v>
      </c>
      <c r="B12" s="26" t="s">
        <v>214</v>
      </c>
    </row>
    <row r="13" spans="1:2" x14ac:dyDescent="0.6">
      <c r="A13" s="12" t="str">
        <f>'Ann 13'!A1</f>
        <v>Annexure 13 - Repayment schedule</v>
      </c>
      <c r="B13" s="26" t="s">
        <v>215</v>
      </c>
    </row>
    <row r="14" spans="1:2" x14ac:dyDescent="0.6">
      <c r="A14" s="12" t="str">
        <f>'Ann 14'!A1</f>
        <v>Annexure 14 - Cash flow statement</v>
      </c>
      <c r="B14" s="26" t="s">
        <v>310</v>
      </c>
    </row>
    <row r="15" spans="1:2" x14ac:dyDescent="0.6">
      <c r="A15" s="12" t="str">
        <f>[1]Assumptions!B1</f>
        <v>Assumptions</v>
      </c>
      <c r="B15" s="27" t="s">
        <v>216</v>
      </c>
    </row>
    <row r="16" spans="1:2" x14ac:dyDescent="0.6">
      <c r="A16" s="12" t="str">
        <f>[1]Budgets!A1</f>
        <v>Sales Budget</v>
      </c>
      <c r="B16" s="27" t="s">
        <v>217</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5" location="Assumptions!A1" display="Assumptions!A1" xr:uid="{E978F649-0532-497D-92AA-EF316AAFA8E7}"/>
    <hyperlink ref="B16" location="Budgets!A1" display="Budgets!A1" xr:uid="{4CD23AF4-AE8A-40D8-A5ED-3F33524C9974}"/>
    <hyperlink ref="B6" location="'Ann 3'!A1" display="'Ann 3'!A1" xr:uid="{103D0423-931A-4127-89EA-F0D3EE7C4F91}"/>
    <hyperlink ref="B14" location="'Ann 14'!A1" display="'Ann 14'!A1" xr:uid="{D190FE59-EDA2-40A2-81E8-F17C227B98C9}"/>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E12" sqref="E12"/>
    </sheetView>
  </sheetViews>
  <sheetFormatPr defaultRowHeight="17" x14ac:dyDescent="0.6"/>
  <cols>
    <col min="1" max="1" width="20.90625" style="8" customWidth="1"/>
    <col min="2" max="10" width="13.6328125" style="8" bestFit="1" customWidth="1"/>
    <col min="11" max="16384" width="8.7265625" style="8"/>
  </cols>
  <sheetData>
    <row r="1" spans="1:10" x14ac:dyDescent="0.6">
      <c r="A1" s="7" t="s">
        <v>107</v>
      </c>
    </row>
    <row r="3" spans="1:10" x14ac:dyDescent="0.6">
      <c r="A3" s="9" t="s">
        <v>108</v>
      </c>
    </row>
    <row r="5" spans="1:10" s="7" customFormat="1" x14ac:dyDescent="0.6">
      <c r="A5" s="133" t="s">
        <v>3</v>
      </c>
      <c r="B5" s="129" t="s">
        <v>48</v>
      </c>
      <c r="C5" s="129"/>
      <c r="D5" s="129"/>
      <c r="E5" s="129"/>
      <c r="F5" s="129"/>
      <c r="G5" s="129"/>
      <c r="H5" s="129"/>
      <c r="I5" s="129"/>
      <c r="J5" s="129"/>
    </row>
    <row r="6" spans="1:10" s="7" customFormat="1" x14ac:dyDescent="0.6">
      <c r="A6" s="133"/>
      <c r="B6" s="94" t="s">
        <v>39</v>
      </c>
      <c r="C6" s="94" t="s">
        <v>40</v>
      </c>
      <c r="D6" s="94" t="s">
        <v>41</v>
      </c>
      <c r="E6" s="94" t="s">
        <v>42</v>
      </c>
      <c r="F6" s="94" t="s">
        <v>43</v>
      </c>
      <c r="G6" s="94" t="s">
        <v>44</v>
      </c>
      <c r="H6" s="94" t="s">
        <v>45</v>
      </c>
      <c r="I6" s="94" t="s">
        <v>46</v>
      </c>
      <c r="J6" s="94" t="s">
        <v>47</v>
      </c>
    </row>
    <row r="7" spans="1:10" x14ac:dyDescent="0.6">
      <c r="A7" s="12" t="s">
        <v>109</v>
      </c>
      <c r="B7" s="11">
        <f>'Ann 4'!C24</f>
        <v>2154375.3846153845</v>
      </c>
      <c r="C7" s="11">
        <f>'Ann 4'!D24</f>
        <v>2735641.1971153845</v>
      </c>
      <c r="D7" s="11">
        <f>'Ann 4'!E24</f>
        <v>2954590.4734615381</v>
      </c>
      <c r="E7" s="11">
        <f>'Ann 4'!F24</f>
        <v>3166706.7215076918</v>
      </c>
      <c r="F7" s="11">
        <f>'Ann 4'!G24</f>
        <v>3371524.7542728456</v>
      </c>
      <c r="G7" s="11">
        <f>'Ann 4'!H24</f>
        <v>3311353.4935623296</v>
      </c>
      <c r="H7" s="11">
        <f>'Ann 4'!I24</f>
        <v>3243615.4138328461</v>
      </c>
      <c r="I7" s="11">
        <f>'Ann 4'!J24</f>
        <v>3149808.5300607607</v>
      </c>
      <c r="J7" s="11">
        <f>'Ann 4'!K24</f>
        <v>3017384.5490400139</v>
      </c>
    </row>
    <row r="8" spans="1:10" x14ac:dyDescent="0.6">
      <c r="A8" s="12" t="s">
        <v>110</v>
      </c>
      <c r="B8" s="11">
        <v>0</v>
      </c>
      <c r="C8" s="11">
        <v>0</v>
      </c>
      <c r="D8" s="11">
        <v>0</v>
      </c>
      <c r="E8" s="11">
        <v>0</v>
      </c>
      <c r="F8" s="11">
        <v>0</v>
      </c>
      <c r="G8" s="11">
        <v>0</v>
      </c>
      <c r="H8" s="11">
        <v>0</v>
      </c>
      <c r="I8" s="11">
        <v>0</v>
      </c>
      <c r="J8" s="11">
        <v>0</v>
      </c>
    </row>
    <row r="9" spans="1:10" x14ac:dyDescent="0.6">
      <c r="A9" s="12" t="s">
        <v>111</v>
      </c>
      <c r="B9" s="11">
        <f>B7+B8</f>
        <v>2154375.3846153845</v>
      </c>
      <c r="C9" s="11">
        <f t="shared" ref="C9:J9" si="0">C7+C8</f>
        <v>2735641.1971153845</v>
      </c>
      <c r="D9" s="11">
        <f t="shared" si="0"/>
        <v>2954590.4734615381</v>
      </c>
      <c r="E9" s="11">
        <f t="shared" si="0"/>
        <v>3166706.7215076918</v>
      </c>
      <c r="F9" s="11">
        <f t="shared" si="0"/>
        <v>3371524.7542728456</v>
      </c>
      <c r="G9" s="11">
        <f t="shared" si="0"/>
        <v>3311353.4935623296</v>
      </c>
      <c r="H9" s="11">
        <f t="shared" si="0"/>
        <v>3243615.4138328461</v>
      </c>
      <c r="I9" s="11">
        <f t="shared" si="0"/>
        <v>3149808.5300607607</v>
      </c>
      <c r="J9" s="11">
        <f t="shared" si="0"/>
        <v>3017384.5490400139</v>
      </c>
    </row>
    <row r="10" spans="1:10" x14ac:dyDescent="0.6">
      <c r="A10" s="12" t="s">
        <v>112</v>
      </c>
      <c r="B10" s="11">
        <f>SUM('Ann 9'!C12:E12)</f>
        <v>794050</v>
      </c>
      <c r="C10" s="11">
        <f>SUM('Ann 9'!C13:E13)</f>
        <v>682942.5</v>
      </c>
      <c r="D10" s="11">
        <f>SUM('Ann 9'!C14:E14)</f>
        <v>587701.125</v>
      </c>
      <c r="E10" s="11">
        <f>SUM('Ann 9'!C15:E15)</f>
        <v>506025.95624999999</v>
      </c>
      <c r="F10" s="11">
        <f>SUM('Ann 9'!C16:E16)</f>
        <v>435954.06281249999</v>
      </c>
      <c r="G10" s="11">
        <f>SUM('Ann 9'!C17:E17)</f>
        <v>375809.75339062506</v>
      </c>
      <c r="H10" s="11">
        <f>SUM('Ann 9'!C18:E18)</f>
        <v>324162.21038203128</v>
      </c>
      <c r="I10" s="11">
        <f>SUM('Ann 9'!C19:E19)</f>
        <v>279789.40682472661</v>
      </c>
      <c r="J10" s="11">
        <f>SUM('Ann 9'!C20:E20)</f>
        <v>241647.37100101763</v>
      </c>
    </row>
    <row r="11" spans="1:10" x14ac:dyDescent="0.6">
      <c r="A11" s="12" t="s">
        <v>111</v>
      </c>
      <c r="B11" s="11">
        <f>B9-B10</f>
        <v>1360325.3846153845</v>
      </c>
      <c r="C11" s="11">
        <f t="shared" ref="C11:J11" si="1">C9-C10</f>
        <v>2052698.6971153845</v>
      </c>
      <c r="D11" s="11">
        <f t="shared" si="1"/>
        <v>2366889.3484615381</v>
      </c>
      <c r="E11" s="11">
        <f t="shared" si="1"/>
        <v>2660680.765257692</v>
      </c>
      <c r="F11" s="11">
        <f t="shared" si="1"/>
        <v>2935570.6914603454</v>
      </c>
      <c r="G11" s="11">
        <f t="shared" si="1"/>
        <v>2935543.7401717044</v>
      </c>
      <c r="H11" s="11">
        <f t="shared" si="1"/>
        <v>2919453.2034508148</v>
      </c>
      <c r="I11" s="11">
        <f t="shared" si="1"/>
        <v>2870019.1232360341</v>
      </c>
      <c r="J11" s="11">
        <f t="shared" si="1"/>
        <v>2775737.1780389962</v>
      </c>
    </row>
    <row r="12" spans="1:10" x14ac:dyDescent="0.6">
      <c r="A12" s="12" t="s">
        <v>113</v>
      </c>
      <c r="B12" s="93">
        <v>0</v>
      </c>
      <c r="C12" s="93">
        <v>0</v>
      </c>
      <c r="D12" s="93">
        <v>0</v>
      </c>
      <c r="E12" s="93">
        <v>0</v>
      </c>
      <c r="F12" s="93">
        <v>0</v>
      </c>
      <c r="G12" s="93">
        <v>0</v>
      </c>
      <c r="H12" s="93">
        <v>0</v>
      </c>
      <c r="I12" s="93">
        <v>0</v>
      </c>
      <c r="J12" s="93">
        <v>0</v>
      </c>
    </row>
    <row r="13" spans="1:10" x14ac:dyDescent="0.6">
      <c r="A13" s="12" t="s">
        <v>114</v>
      </c>
      <c r="B13" s="13">
        <f>B11</f>
        <v>1360325.3846153845</v>
      </c>
      <c r="C13" s="13">
        <f t="shared" ref="C13:J13" si="2">C11</f>
        <v>2052698.6971153845</v>
      </c>
      <c r="D13" s="13">
        <f t="shared" si="2"/>
        <v>2366889.3484615381</v>
      </c>
      <c r="E13" s="13">
        <f t="shared" si="2"/>
        <v>2660680.765257692</v>
      </c>
      <c r="F13" s="13">
        <f t="shared" si="2"/>
        <v>2935570.6914603454</v>
      </c>
      <c r="G13" s="13">
        <f t="shared" si="2"/>
        <v>2935543.7401717044</v>
      </c>
      <c r="H13" s="13">
        <f t="shared" si="2"/>
        <v>2919453.2034508148</v>
      </c>
      <c r="I13" s="13">
        <f t="shared" si="2"/>
        <v>2870019.1232360341</v>
      </c>
      <c r="J13" s="13">
        <f t="shared" si="2"/>
        <v>2775737.1780389962</v>
      </c>
    </row>
    <row r="14" spans="1:10" x14ac:dyDescent="0.6">
      <c r="A14" s="12" t="s">
        <v>115</v>
      </c>
      <c r="B14" s="13">
        <f>B13*30%</f>
        <v>408097.61538461532</v>
      </c>
      <c r="C14" s="13">
        <f t="shared" ref="C14:J14" si="3">C13*30%</f>
        <v>615809.60913461528</v>
      </c>
      <c r="D14" s="13">
        <f t="shared" si="3"/>
        <v>710066.80453846138</v>
      </c>
      <c r="E14" s="13">
        <f t="shared" si="3"/>
        <v>798204.22957730759</v>
      </c>
      <c r="F14" s="13">
        <f t="shared" si="3"/>
        <v>880671.20743810362</v>
      </c>
      <c r="G14" s="13">
        <f t="shared" si="3"/>
        <v>880663.12205151131</v>
      </c>
      <c r="H14" s="13">
        <f t="shared" si="3"/>
        <v>875835.9610352444</v>
      </c>
      <c r="I14" s="13">
        <f t="shared" si="3"/>
        <v>861005.73697081022</v>
      </c>
      <c r="J14" s="13">
        <f t="shared" si="3"/>
        <v>832721.15341169888</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4"/>
  <sheetViews>
    <sheetView topLeftCell="A20" workbookViewId="0">
      <selection activeCell="A33" sqref="A33:E33"/>
    </sheetView>
  </sheetViews>
  <sheetFormatPr defaultRowHeight="17" x14ac:dyDescent="0.6"/>
  <cols>
    <col min="1" max="1" width="8.7265625" style="8"/>
    <col min="2" max="2" width="26.7265625" style="8" bestFit="1" customWidth="1"/>
    <col min="3" max="3" width="14.6328125" style="8" bestFit="1" customWidth="1"/>
    <col min="4" max="4" width="13.54296875" style="8" bestFit="1" customWidth="1"/>
    <col min="5" max="5" width="13.6328125" style="8" bestFit="1" customWidth="1"/>
    <col min="6" max="14" width="8.7265625" style="8"/>
    <col min="15" max="15" width="13.6328125" style="8" bestFit="1" customWidth="1"/>
    <col min="16" max="16" width="12.54296875" style="8" bestFit="1" customWidth="1"/>
    <col min="17" max="16384" width="8.7265625" style="8"/>
  </cols>
  <sheetData>
    <row r="1" spans="1:7" x14ac:dyDescent="0.6">
      <c r="A1" s="7" t="s">
        <v>71</v>
      </c>
    </row>
    <row r="3" spans="1:7" x14ac:dyDescent="0.6">
      <c r="A3" s="100" t="s">
        <v>72</v>
      </c>
      <c r="B3" s="101"/>
      <c r="C3" s="101"/>
      <c r="D3" s="101"/>
      <c r="E3" s="101"/>
    </row>
    <row r="5" spans="1:7" x14ac:dyDescent="0.6">
      <c r="B5" s="8" t="s">
        <v>50</v>
      </c>
      <c r="E5" s="95">
        <f>Budgets!B10/80%</f>
        <v>9983250</v>
      </c>
    </row>
    <row r="6" spans="1:7" x14ac:dyDescent="0.6">
      <c r="B6" s="8" t="s">
        <v>73</v>
      </c>
    </row>
    <row r="7" spans="1:7" x14ac:dyDescent="0.6">
      <c r="B7" s="96" t="s">
        <v>74</v>
      </c>
      <c r="D7" s="23">
        <f>E5*1%</f>
        <v>99832.5</v>
      </c>
    </row>
    <row r="8" spans="1:7" x14ac:dyDescent="0.6">
      <c r="B8" s="96" t="s">
        <v>75</v>
      </c>
      <c r="D8" s="23">
        <f>'Ann 1'!C25*100000*10%</f>
        <v>52300.000000000007</v>
      </c>
      <c r="E8" s="23"/>
    </row>
    <row r="9" spans="1:7" x14ac:dyDescent="0.6">
      <c r="B9" s="96" t="s">
        <v>77</v>
      </c>
      <c r="D9" s="23">
        <f>'Ann 4'!K36</f>
        <v>303876.5625</v>
      </c>
      <c r="E9" s="23">
        <f>SUM(D7:D9)</f>
        <v>456009.0625</v>
      </c>
      <c r="G9" s="35"/>
    </row>
    <row r="10" spans="1:7" x14ac:dyDescent="0.6">
      <c r="B10" s="8" t="s">
        <v>76</v>
      </c>
      <c r="E10" s="23">
        <f>E5-E9</f>
        <v>9527240.9375</v>
      </c>
    </row>
    <row r="11" spans="1:7" x14ac:dyDescent="0.6">
      <c r="B11" s="8" t="s">
        <v>252</v>
      </c>
    </row>
    <row r="12" spans="1:7" x14ac:dyDescent="0.6">
      <c r="B12" s="8" t="s">
        <v>78</v>
      </c>
      <c r="E12" s="23">
        <f>'Ann 9'!F12</f>
        <v>794050</v>
      </c>
    </row>
    <row r="13" spans="1:7" x14ac:dyDescent="0.6">
      <c r="B13" s="8" t="s">
        <v>251</v>
      </c>
      <c r="E13" s="23">
        <v>50000</v>
      </c>
    </row>
    <row r="14" spans="1:7" x14ac:dyDescent="0.6">
      <c r="B14" s="8" t="s">
        <v>200</v>
      </c>
      <c r="E14" s="23">
        <f>SUM('Ann 13'!E9:E12)*100000</f>
        <v>308524.61538461543</v>
      </c>
    </row>
    <row r="15" spans="1:7" x14ac:dyDescent="0.6">
      <c r="B15" s="8" t="s">
        <v>79</v>
      </c>
      <c r="E15" s="23">
        <f>SUM(E12:E14)</f>
        <v>1152574.6153846155</v>
      </c>
    </row>
    <row r="17" spans="1:5" x14ac:dyDescent="0.6">
      <c r="A17" s="101"/>
      <c r="B17" s="101"/>
      <c r="C17" s="101" t="s">
        <v>295</v>
      </c>
      <c r="D17" s="101" t="s">
        <v>296</v>
      </c>
      <c r="E17" s="97"/>
    </row>
    <row r="18" spans="1:5" x14ac:dyDescent="0.6">
      <c r="B18" s="8" t="s">
        <v>82</v>
      </c>
      <c r="C18" s="8">
        <f>Budgets!B14</f>
        <v>2.5</v>
      </c>
      <c r="D18" s="8">
        <f>Budgets!C14</f>
        <v>180</v>
      </c>
      <c r="E18" s="97"/>
    </row>
    <row r="19" spans="1:5" x14ac:dyDescent="0.6">
      <c r="B19" s="8" t="s">
        <v>299</v>
      </c>
      <c r="C19" s="8">
        <f>C18*50%</f>
        <v>1.25</v>
      </c>
      <c r="D19" s="8">
        <f>D18*50%</f>
        <v>90</v>
      </c>
      <c r="E19" s="97"/>
    </row>
    <row r="20" spans="1:5" x14ac:dyDescent="0.6">
      <c r="B20" s="96" t="s">
        <v>81</v>
      </c>
      <c r="C20" s="98">
        <v>0.08</v>
      </c>
      <c r="D20" s="8">
        <v>27.3</v>
      </c>
      <c r="E20" s="97"/>
    </row>
    <row r="21" spans="1:5" x14ac:dyDescent="0.6">
      <c r="B21" s="8" t="s">
        <v>80</v>
      </c>
      <c r="C21" s="98">
        <v>0.32</v>
      </c>
      <c r="D21" s="8">
        <v>14.134</v>
      </c>
      <c r="E21" s="97"/>
    </row>
    <row r="22" spans="1:5" x14ac:dyDescent="0.6">
      <c r="B22" s="8" t="s">
        <v>250</v>
      </c>
      <c r="C22" s="8">
        <f>C18-SUM(C19:C21)</f>
        <v>0.84999999999999987</v>
      </c>
      <c r="D22" s="8">
        <f>D18-SUM(D19:D21)</f>
        <v>48.566000000000003</v>
      </c>
      <c r="E22" s="97"/>
    </row>
    <row r="23" spans="1:5" x14ac:dyDescent="0.6">
      <c r="B23" s="8" t="s">
        <v>300</v>
      </c>
      <c r="C23" s="49">
        <f>C22/C18</f>
        <v>0.33999999999999997</v>
      </c>
      <c r="D23" s="49">
        <f>D22/D18</f>
        <v>0.26981111111111111</v>
      </c>
      <c r="E23" s="97"/>
    </row>
    <row r="24" spans="1:5" x14ac:dyDescent="0.6">
      <c r="B24" s="8" t="s">
        <v>301</v>
      </c>
      <c r="C24" s="49">
        <f>Budgets!C26/(Budgets!C36+Budgets!C26)</f>
        <v>0.9375</v>
      </c>
      <c r="D24" s="49">
        <f>Budgets!C36/(Budgets!C26+Budgets!C36)</f>
        <v>6.25E-2</v>
      </c>
      <c r="E24" s="97"/>
    </row>
    <row r="25" spans="1:5" x14ac:dyDescent="0.6">
      <c r="B25" s="8" t="s">
        <v>302</v>
      </c>
      <c r="C25" s="49">
        <f>C23*C24</f>
        <v>0.31874999999999998</v>
      </c>
      <c r="D25" s="49">
        <f>D23*D24</f>
        <v>1.6863194444444445E-2</v>
      </c>
      <c r="E25" s="99">
        <f>SUM(C25:D25)</f>
        <v>0.33561319444444443</v>
      </c>
    </row>
    <row r="26" spans="1:5" x14ac:dyDescent="0.6">
      <c r="C26" s="49"/>
      <c r="D26" s="49"/>
      <c r="E26" s="99"/>
    </row>
    <row r="27" spans="1:5" x14ac:dyDescent="0.6">
      <c r="B27" s="8" t="s">
        <v>303</v>
      </c>
      <c r="C27" s="35">
        <f>E15/E25</f>
        <v>3434235.1089399923</v>
      </c>
    </row>
    <row r="28" spans="1:5" x14ac:dyDescent="0.6">
      <c r="B28" s="8" t="s">
        <v>295</v>
      </c>
      <c r="C28" s="35">
        <f>C27*C24</f>
        <v>3219595.4146312429</v>
      </c>
    </row>
    <row r="29" spans="1:5" x14ac:dyDescent="0.6">
      <c r="B29" s="8" t="s">
        <v>296</v>
      </c>
      <c r="C29" s="35">
        <f>C27*D24</f>
        <v>214639.69430874952</v>
      </c>
    </row>
    <row r="30" spans="1:5" x14ac:dyDescent="0.6">
      <c r="C30" s="35"/>
    </row>
    <row r="31" spans="1:5" x14ac:dyDescent="0.6">
      <c r="B31" s="8" t="s">
        <v>199</v>
      </c>
      <c r="C31" s="49">
        <f>C27/((Budgets!B8+Budgets!B9)/80%)</f>
        <v>0.34399971040893418</v>
      </c>
    </row>
    <row r="32" spans="1:5" x14ac:dyDescent="0.6">
      <c r="C32" s="49"/>
    </row>
    <row r="33" spans="1:5" ht="52.5" customHeight="1" x14ac:dyDescent="0.6">
      <c r="A33" s="134" t="s">
        <v>227</v>
      </c>
      <c r="B33" s="134"/>
      <c r="C33" s="134"/>
      <c r="D33" s="134"/>
      <c r="E33" s="134"/>
    </row>
    <row r="34" spans="1:5" ht="71.5" customHeight="1" x14ac:dyDescent="0.6">
      <c r="A34" s="134" t="s">
        <v>313</v>
      </c>
      <c r="B34" s="134"/>
      <c r="C34" s="134"/>
      <c r="D34" s="134"/>
      <c r="E34" s="134"/>
    </row>
  </sheetData>
  <mergeCells count="2">
    <mergeCell ref="A33:E33"/>
    <mergeCell ref="A34:E3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83</v>
      </c>
    </row>
    <row r="3" spans="1:11" x14ac:dyDescent="0.35">
      <c r="C3" s="135" t="s">
        <v>84</v>
      </c>
      <c r="D3" s="135"/>
      <c r="E3" s="135"/>
      <c r="F3" s="135"/>
      <c r="G3" s="135"/>
      <c r="H3" s="135"/>
      <c r="I3" s="135"/>
      <c r="J3" s="135"/>
      <c r="K3" s="135"/>
    </row>
    <row r="4" spans="1:11" x14ac:dyDescent="0.35">
      <c r="C4">
        <v>1</v>
      </c>
      <c r="D4">
        <v>2</v>
      </c>
      <c r="E4">
        <v>3</v>
      </c>
      <c r="F4">
        <v>4</v>
      </c>
      <c r="G4">
        <v>5</v>
      </c>
      <c r="H4">
        <v>6</v>
      </c>
      <c r="I4">
        <v>7</v>
      </c>
      <c r="J4">
        <v>8</v>
      </c>
      <c r="K4">
        <v>9</v>
      </c>
    </row>
    <row r="5" spans="1:11" x14ac:dyDescent="0.35">
      <c r="A5" t="s">
        <v>85</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86</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87</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D18" sqref="D18"/>
    </sheetView>
  </sheetViews>
  <sheetFormatPr defaultRowHeight="17" x14ac:dyDescent="0.6"/>
  <cols>
    <col min="1" max="1" width="4.54296875" style="8" bestFit="1" customWidth="1"/>
    <col min="2" max="2" width="7.36328125" style="8" bestFit="1" customWidth="1"/>
    <col min="3" max="3" width="17.81640625" style="8" bestFit="1" customWidth="1"/>
    <col min="4" max="4" width="17.36328125" style="8" bestFit="1" customWidth="1"/>
    <col min="5" max="5" width="7.26953125" style="8" bestFit="1" customWidth="1"/>
    <col min="6" max="16384" width="8.7265625" style="8"/>
  </cols>
  <sheetData>
    <row r="1" spans="1:7" x14ac:dyDescent="0.6">
      <c r="A1" s="7" t="s">
        <v>93</v>
      </c>
    </row>
    <row r="3" spans="1:7" x14ac:dyDescent="0.6">
      <c r="A3" s="9" t="s">
        <v>94</v>
      </c>
    </row>
    <row r="4" spans="1:7" x14ac:dyDescent="0.6">
      <c r="A4" s="8" t="s">
        <v>95</v>
      </c>
      <c r="D4" s="50">
        <f>'Ann 2'!C6</f>
        <v>51.92</v>
      </c>
    </row>
    <row r="5" spans="1:7" x14ac:dyDescent="0.6">
      <c r="A5" s="8" t="s">
        <v>96</v>
      </c>
      <c r="D5" s="102">
        <v>0.06</v>
      </c>
    </row>
    <row r="6" spans="1:7" x14ac:dyDescent="0.6">
      <c r="A6" s="8" t="s">
        <v>97</v>
      </c>
      <c r="D6" s="103" t="s">
        <v>154</v>
      </c>
    </row>
    <row r="8" spans="1:7" x14ac:dyDescent="0.6">
      <c r="A8" s="25" t="s">
        <v>70</v>
      </c>
      <c r="B8" s="25" t="s">
        <v>98</v>
      </c>
      <c r="C8" s="25" t="s">
        <v>99</v>
      </c>
      <c r="D8" s="25" t="s">
        <v>101</v>
      </c>
      <c r="E8" s="25" t="s">
        <v>100</v>
      </c>
    </row>
    <row r="9" spans="1:7" x14ac:dyDescent="0.6">
      <c r="A9" s="136">
        <v>1</v>
      </c>
      <c r="B9" s="12">
        <v>1</v>
      </c>
      <c r="C9" s="85">
        <f>$D$4</f>
        <v>51.92</v>
      </c>
      <c r="D9" s="12">
        <v>0</v>
      </c>
      <c r="E9" s="12">
        <f>C9*$D$5/4</f>
        <v>0.77880000000000005</v>
      </c>
    </row>
    <row r="10" spans="1:7" x14ac:dyDescent="0.6">
      <c r="A10" s="136"/>
      <c r="B10" s="12">
        <v>2</v>
      </c>
      <c r="C10" s="85">
        <f>$D$4</f>
        <v>51.92</v>
      </c>
      <c r="D10" s="12">
        <v>0</v>
      </c>
      <c r="E10" s="12">
        <f t="shared" ref="E10:E36" si="0">C10*$D$5/4</f>
        <v>0.77880000000000005</v>
      </c>
      <c r="G10" s="104"/>
    </row>
    <row r="11" spans="1:7" x14ac:dyDescent="0.6">
      <c r="A11" s="136"/>
      <c r="B11" s="12">
        <v>3</v>
      </c>
      <c r="C11" s="85">
        <f>$D$4</f>
        <v>51.92</v>
      </c>
      <c r="D11" s="12">
        <f>D4/26</f>
        <v>1.996923076923077</v>
      </c>
      <c r="E11" s="12">
        <f t="shared" si="0"/>
        <v>0.77880000000000005</v>
      </c>
    </row>
    <row r="12" spans="1:7" x14ac:dyDescent="0.6">
      <c r="A12" s="136"/>
      <c r="B12" s="12">
        <v>4</v>
      </c>
      <c r="C12" s="12">
        <f t="shared" ref="C12:C17" si="1">C11-D11</f>
        <v>49.923076923076927</v>
      </c>
      <c r="D12" s="12">
        <f>D11</f>
        <v>1.996923076923077</v>
      </c>
      <c r="E12" s="12">
        <f t="shared" si="0"/>
        <v>0.74884615384615383</v>
      </c>
    </row>
    <row r="13" spans="1:7" x14ac:dyDescent="0.6">
      <c r="A13" s="136">
        <v>2</v>
      </c>
      <c r="B13" s="12">
        <v>1</v>
      </c>
      <c r="C13" s="12">
        <f t="shared" si="1"/>
        <v>47.926153846153852</v>
      </c>
      <c r="D13" s="12">
        <f t="shared" ref="D13:D35" si="2">D12</f>
        <v>1.996923076923077</v>
      </c>
      <c r="E13" s="12">
        <f t="shared" si="0"/>
        <v>0.71889230769230772</v>
      </c>
    </row>
    <row r="14" spans="1:7" x14ac:dyDescent="0.6">
      <c r="A14" s="136"/>
      <c r="B14" s="12">
        <v>2</v>
      </c>
      <c r="C14" s="12">
        <f t="shared" si="1"/>
        <v>45.929230769230777</v>
      </c>
      <c r="D14" s="12">
        <f t="shared" si="2"/>
        <v>1.996923076923077</v>
      </c>
      <c r="E14" s="12">
        <f t="shared" si="0"/>
        <v>0.68893846153846161</v>
      </c>
    </row>
    <row r="15" spans="1:7" x14ac:dyDescent="0.6">
      <c r="A15" s="136"/>
      <c r="B15" s="12">
        <v>3</v>
      </c>
      <c r="C15" s="12">
        <f t="shared" si="1"/>
        <v>43.932307692307702</v>
      </c>
      <c r="D15" s="12">
        <f t="shared" si="2"/>
        <v>1.996923076923077</v>
      </c>
      <c r="E15" s="12">
        <f t="shared" si="0"/>
        <v>0.6589846153846155</v>
      </c>
    </row>
    <row r="16" spans="1:7" x14ac:dyDescent="0.6">
      <c r="A16" s="136"/>
      <c r="B16" s="12">
        <v>4</v>
      </c>
      <c r="C16" s="12">
        <f t="shared" si="1"/>
        <v>41.935384615384628</v>
      </c>
      <c r="D16" s="12">
        <f t="shared" si="2"/>
        <v>1.996923076923077</v>
      </c>
      <c r="E16" s="12">
        <f t="shared" si="0"/>
        <v>0.62903076923076939</v>
      </c>
    </row>
    <row r="17" spans="1:5" x14ac:dyDescent="0.6">
      <c r="A17" s="136">
        <v>3</v>
      </c>
      <c r="B17" s="12">
        <v>1</v>
      </c>
      <c r="C17" s="12">
        <f t="shared" si="1"/>
        <v>39.938461538461553</v>
      </c>
      <c r="D17" s="12">
        <f t="shared" si="2"/>
        <v>1.996923076923077</v>
      </c>
      <c r="E17" s="12">
        <f t="shared" si="0"/>
        <v>0.59907692307692328</v>
      </c>
    </row>
    <row r="18" spans="1:5" x14ac:dyDescent="0.6">
      <c r="A18" s="136"/>
      <c r="B18" s="12">
        <v>2</v>
      </c>
      <c r="C18" s="12">
        <f t="shared" ref="C18:C36" si="3">C17-D17</f>
        <v>37.941538461538478</v>
      </c>
      <c r="D18" s="12">
        <f t="shared" si="2"/>
        <v>1.996923076923077</v>
      </c>
      <c r="E18" s="12">
        <f t="shared" si="0"/>
        <v>0.56912307692307718</v>
      </c>
    </row>
    <row r="19" spans="1:5" x14ac:dyDescent="0.6">
      <c r="A19" s="136"/>
      <c r="B19" s="12">
        <v>3</v>
      </c>
      <c r="C19" s="12">
        <f t="shared" si="3"/>
        <v>35.944615384615403</v>
      </c>
      <c r="D19" s="12">
        <f t="shared" si="2"/>
        <v>1.996923076923077</v>
      </c>
      <c r="E19" s="12">
        <f t="shared" si="0"/>
        <v>0.53916923076923107</v>
      </c>
    </row>
    <row r="20" spans="1:5" x14ac:dyDescent="0.6">
      <c r="A20" s="136"/>
      <c r="B20" s="12">
        <v>4</v>
      </c>
      <c r="C20" s="12">
        <f t="shared" si="3"/>
        <v>33.947692307692328</v>
      </c>
      <c r="D20" s="12">
        <f t="shared" si="2"/>
        <v>1.996923076923077</v>
      </c>
      <c r="E20" s="12">
        <f t="shared" si="0"/>
        <v>0.50921538461538496</v>
      </c>
    </row>
    <row r="21" spans="1:5" x14ac:dyDescent="0.6">
      <c r="A21" s="136">
        <v>4</v>
      </c>
      <c r="B21" s="12">
        <v>1</v>
      </c>
      <c r="C21" s="12">
        <f t="shared" si="3"/>
        <v>31.95076923076925</v>
      </c>
      <c r="D21" s="12">
        <f t="shared" si="2"/>
        <v>1.996923076923077</v>
      </c>
      <c r="E21" s="12">
        <f t="shared" si="0"/>
        <v>0.47926153846153874</v>
      </c>
    </row>
    <row r="22" spans="1:5" x14ac:dyDescent="0.6">
      <c r="A22" s="136"/>
      <c r="B22" s="12">
        <v>2</v>
      </c>
      <c r="C22" s="12">
        <f t="shared" si="3"/>
        <v>29.953846153846172</v>
      </c>
      <c r="D22" s="12">
        <f t="shared" si="2"/>
        <v>1.996923076923077</v>
      </c>
      <c r="E22" s="12">
        <f t="shared" si="0"/>
        <v>0.44930769230769257</v>
      </c>
    </row>
    <row r="23" spans="1:5" x14ac:dyDescent="0.6">
      <c r="A23" s="136"/>
      <c r="B23" s="12">
        <v>3</v>
      </c>
      <c r="C23" s="12">
        <f t="shared" si="3"/>
        <v>27.956923076923093</v>
      </c>
      <c r="D23" s="12">
        <f t="shared" si="2"/>
        <v>1.996923076923077</v>
      </c>
      <c r="E23" s="12">
        <f t="shared" si="0"/>
        <v>0.41935384615384641</v>
      </c>
    </row>
    <row r="24" spans="1:5" x14ac:dyDescent="0.6">
      <c r="A24" s="136"/>
      <c r="B24" s="12">
        <v>4</v>
      </c>
      <c r="C24" s="12">
        <f t="shared" si="3"/>
        <v>25.960000000000015</v>
      </c>
      <c r="D24" s="12">
        <f t="shared" si="2"/>
        <v>1.996923076923077</v>
      </c>
      <c r="E24" s="12">
        <f t="shared" si="0"/>
        <v>0.38940000000000019</v>
      </c>
    </row>
    <row r="25" spans="1:5" x14ac:dyDescent="0.6">
      <c r="A25" s="136">
        <v>5</v>
      </c>
      <c r="B25" s="12">
        <v>1</v>
      </c>
      <c r="C25" s="12">
        <f t="shared" si="3"/>
        <v>23.963076923076937</v>
      </c>
      <c r="D25" s="12">
        <f t="shared" si="2"/>
        <v>1.996923076923077</v>
      </c>
      <c r="E25" s="12">
        <f t="shared" si="0"/>
        <v>0.35944615384615403</v>
      </c>
    </row>
    <row r="26" spans="1:5" x14ac:dyDescent="0.6">
      <c r="A26" s="136"/>
      <c r="B26" s="12">
        <v>2</v>
      </c>
      <c r="C26" s="12">
        <f t="shared" si="3"/>
        <v>21.966153846153858</v>
      </c>
      <c r="D26" s="12">
        <f t="shared" si="2"/>
        <v>1.996923076923077</v>
      </c>
      <c r="E26" s="12">
        <f t="shared" si="0"/>
        <v>0.32949230769230786</v>
      </c>
    </row>
    <row r="27" spans="1:5" x14ac:dyDescent="0.6">
      <c r="A27" s="136"/>
      <c r="B27" s="12">
        <v>3</v>
      </c>
      <c r="C27" s="12">
        <f t="shared" si="3"/>
        <v>19.96923076923078</v>
      </c>
      <c r="D27" s="12">
        <f t="shared" si="2"/>
        <v>1.996923076923077</v>
      </c>
      <c r="E27" s="12">
        <f t="shared" si="0"/>
        <v>0.2995384615384617</v>
      </c>
    </row>
    <row r="28" spans="1:5" x14ac:dyDescent="0.6">
      <c r="A28" s="136"/>
      <c r="B28" s="12">
        <v>4</v>
      </c>
      <c r="C28" s="12">
        <f t="shared" si="3"/>
        <v>17.972307692307702</v>
      </c>
      <c r="D28" s="12">
        <f t="shared" si="2"/>
        <v>1.996923076923077</v>
      </c>
      <c r="E28" s="12">
        <f t="shared" si="0"/>
        <v>0.26958461538461553</v>
      </c>
    </row>
    <row r="29" spans="1:5" x14ac:dyDescent="0.6">
      <c r="A29" s="136">
        <v>6</v>
      </c>
      <c r="B29" s="12">
        <v>1</v>
      </c>
      <c r="C29" s="12">
        <f t="shared" si="3"/>
        <v>15.975384615384625</v>
      </c>
      <c r="D29" s="12">
        <f t="shared" si="2"/>
        <v>1.996923076923077</v>
      </c>
      <c r="E29" s="12">
        <f t="shared" si="0"/>
        <v>0.23963076923076937</v>
      </c>
    </row>
    <row r="30" spans="1:5" x14ac:dyDescent="0.6">
      <c r="A30" s="136"/>
      <c r="B30" s="12">
        <v>2</v>
      </c>
      <c r="C30" s="12">
        <f t="shared" si="3"/>
        <v>13.978461538461548</v>
      </c>
      <c r="D30" s="12">
        <f t="shared" si="2"/>
        <v>1.996923076923077</v>
      </c>
      <c r="E30" s="12">
        <f t="shared" si="0"/>
        <v>0.20967692307692323</v>
      </c>
    </row>
    <row r="31" spans="1:5" x14ac:dyDescent="0.6">
      <c r="A31" s="136"/>
      <c r="B31" s="12">
        <v>3</v>
      </c>
      <c r="C31" s="12">
        <f t="shared" si="3"/>
        <v>11.981538461538472</v>
      </c>
      <c r="D31" s="12">
        <f t="shared" si="2"/>
        <v>1.996923076923077</v>
      </c>
      <c r="E31" s="12">
        <f t="shared" si="0"/>
        <v>0.17972307692307707</v>
      </c>
    </row>
    <row r="32" spans="1:5" x14ac:dyDescent="0.6">
      <c r="A32" s="136"/>
      <c r="B32" s="12">
        <v>4</v>
      </c>
      <c r="C32" s="12">
        <f t="shared" si="3"/>
        <v>9.9846153846153953</v>
      </c>
      <c r="D32" s="12">
        <f t="shared" si="2"/>
        <v>1.996923076923077</v>
      </c>
      <c r="E32" s="12">
        <f t="shared" si="0"/>
        <v>0.14976923076923093</v>
      </c>
    </row>
    <row r="33" spans="1:5" x14ac:dyDescent="0.6">
      <c r="A33" s="136">
        <v>7</v>
      </c>
      <c r="B33" s="12">
        <v>1</v>
      </c>
      <c r="C33" s="12">
        <f t="shared" si="3"/>
        <v>7.9876923076923187</v>
      </c>
      <c r="D33" s="12">
        <f t="shared" si="2"/>
        <v>1.996923076923077</v>
      </c>
      <c r="E33" s="12">
        <f t="shared" si="0"/>
        <v>0.11981538461538478</v>
      </c>
    </row>
    <row r="34" spans="1:5" x14ac:dyDescent="0.6">
      <c r="A34" s="136"/>
      <c r="B34" s="12">
        <v>2</v>
      </c>
      <c r="C34" s="12">
        <f t="shared" si="3"/>
        <v>5.9907692307692422</v>
      </c>
      <c r="D34" s="12">
        <f t="shared" si="2"/>
        <v>1.996923076923077</v>
      </c>
      <c r="E34" s="12">
        <f t="shared" si="0"/>
        <v>8.9861538461538631E-2</v>
      </c>
    </row>
    <row r="35" spans="1:5" x14ac:dyDescent="0.6">
      <c r="A35" s="136"/>
      <c r="B35" s="12">
        <v>3</v>
      </c>
      <c r="C35" s="12">
        <f t="shared" si="3"/>
        <v>3.9938461538461651</v>
      </c>
      <c r="D35" s="12">
        <f t="shared" si="2"/>
        <v>1.996923076923077</v>
      </c>
      <c r="E35" s="12">
        <f t="shared" si="0"/>
        <v>5.9907692307692474E-2</v>
      </c>
    </row>
    <row r="36" spans="1:5" x14ac:dyDescent="0.6">
      <c r="A36" s="136"/>
      <c r="B36" s="12">
        <v>4</v>
      </c>
      <c r="C36" s="12">
        <f t="shared" si="3"/>
        <v>1.9969230769230881</v>
      </c>
      <c r="D36" s="105">
        <f>D4-SUM(D9:D35)</f>
        <v>1.996923076923089</v>
      </c>
      <c r="E36" s="12">
        <f t="shared" si="0"/>
        <v>2.995384615384632E-2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workbookViewId="0">
      <selection activeCell="C24" sqref="C24"/>
    </sheetView>
  </sheetViews>
  <sheetFormatPr defaultRowHeight="17" x14ac:dyDescent="0.6"/>
  <cols>
    <col min="1" max="1" width="41.1796875" style="104" bestFit="1" customWidth="1"/>
    <col min="2" max="2" width="14.7265625" style="104" customWidth="1"/>
    <col min="3" max="11" width="14.7265625" style="104" bestFit="1" customWidth="1"/>
    <col min="12" max="12" width="13.6328125" style="104" bestFit="1" customWidth="1"/>
    <col min="13" max="16384" width="8.7265625" style="104"/>
  </cols>
  <sheetData>
    <row r="1" spans="1:11" x14ac:dyDescent="0.6">
      <c r="A1" s="113" t="s">
        <v>308</v>
      </c>
      <c r="B1" s="113"/>
    </row>
    <row r="2" spans="1:11" x14ac:dyDescent="0.6">
      <c r="A2" s="113"/>
      <c r="B2" s="113"/>
    </row>
    <row r="3" spans="1:11" x14ac:dyDescent="0.6">
      <c r="A3" s="121" t="s">
        <v>3</v>
      </c>
      <c r="B3" s="121">
        <v>0</v>
      </c>
      <c r="C3" s="121" t="s">
        <v>39</v>
      </c>
      <c r="D3" s="121" t="s">
        <v>40</v>
      </c>
      <c r="E3" s="121" t="s">
        <v>41</v>
      </c>
      <c r="F3" s="121" t="s">
        <v>42</v>
      </c>
      <c r="G3" s="121" t="s">
        <v>43</v>
      </c>
      <c r="H3" s="121" t="s">
        <v>44</v>
      </c>
      <c r="I3" s="121" t="s">
        <v>45</v>
      </c>
      <c r="J3" s="121" t="s">
        <v>46</v>
      </c>
      <c r="K3" s="121" t="s">
        <v>47</v>
      </c>
    </row>
    <row r="4" spans="1:11" x14ac:dyDescent="0.6">
      <c r="A4" s="114" t="s">
        <v>160</v>
      </c>
      <c r="B4" s="115">
        <f>'Ann 2'!C7*100000</f>
        <v>523000.00000000006</v>
      </c>
      <c r="C4" s="115">
        <f>B20</f>
        <v>523000</v>
      </c>
      <c r="D4" s="115">
        <f>C20</f>
        <v>1322310.9384615379</v>
      </c>
      <c r="E4" s="115">
        <f t="shared" ref="E4:K4" si="0">D20</f>
        <v>1508856.0252884605</v>
      </c>
      <c r="F4" s="115">
        <f t="shared" si="0"/>
        <v>1645196.0083038437</v>
      </c>
      <c r="G4" s="115">
        <f t="shared" si="0"/>
        <v>1742114.6715206888</v>
      </c>
      <c r="H4" s="115">
        <f t="shared" si="0"/>
        <v>1808647.695110407</v>
      </c>
      <c r="I4" s="115">
        <f t="shared" si="0"/>
        <v>1816318.4167297801</v>
      </c>
      <c r="J4" s="115">
        <f t="shared" si="0"/>
        <v>1771464.70547581</v>
      </c>
      <c r="K4" s="115">
        <f t="shared" si="0"/>
        <v>2475558.7404492055</v>
      </c>
    </row>
    <row r="5" spans="1:11" x14ac:dyDescent="0.6">
      <c r="A5" s="114" t="s">
        <v>201</v>
      </c>
      <c r="B5" s="115">
        <f>'Ann 5'!C17</f>
        <v>635000</v>
      </c>
      <c r="C5" s="115">
        <v>0</v>
      </c>
      <c r="D5" s="115">
        <v>0</v>
      </c>
      <c r="E5" s="115">
        <v>0</v>
      </c>
      <c r="F5" s="115">
        <v>0</v>
      </c>
      <c r="G5" s="115">
        <v>0</v>
      </c>
      <c r="H5" s="115">
        <v>0</v>
      </c>
      <c r="I5" s="115">
        <v>0</v>
      </c>
      <c r="J5" s="115">
        <v>0</v>
      </c>
      <c r="K5" s="115">
        <v>0</v>
      </c>
    </row>
    <row r="6" spans="1:11" x14ac:dyDescent="0.6">
      <c r="A6" s="114" t="s">
        <v>202</v>
      </c>
      <c r="B6" s="115">
        <f>'Ann 2'!C6*100000</f>
        <v>5192000</v>
      </c>
      <c r="C6" s="115">
        <v>0</v>
      </c>
      <c r="D6" s="115">
        <v>0</v>
      </c>
      <c r="E6" s="115">
        <v>0</v>
      </c>
      <c r="F6" s="115">
        <v>0</v>
      </c>
      <c r="G6" s="115">
        <v>0</v>
      </c>
      <c r="H6" s="115">
        <v>0</v>
      </c>
      <c r="I6" s="115">
        <v>0</v>
      </c>
      <c r="J6" s="115">
        <v>0</v>
      </c>
      <c r="K6" s="115">
        <v>0</v>
      </c>
    </row>
    <row r="7" spans="1:11" x14ac:dyDescent="0.6">
      <c r="A7" s="114" t="s">
        <v>203</v>
      </c>
      <c r="B7" s="115">
        <f>'Ann 9'!F6*100000</f>
        <v>5827000</v>
      </c>
      <c r="C7" s="115">
        <v>0</v>
      </c>
      <c r="D7" s="115">
        <v>0</v>
      </c>
      <c r="E7" s="115">
        <v>0</v>
      </c>
      <c r="F7" s="115">
        <v>0</v>
      </c>
      <c r="G7" s="115">
        <v>0</v>
      </c>
      <c r="H7" s="115">
        <v>0</v>
      </c>
      <c r="I7" s="115">
        <v>0</v>
      </c>
      <c r="J7" s="115">
        <v>0</v>
      </c>
      <c r="K7" s="115">
        <v>0</v>
      </c>
    </row>
    <row r="8" spans="1:11" x14ac:dyDescent="0.6">
      <c r="A8" s="114" t="s">
        <v>161</v>
      </c>
      <c r="B8" s="115"/>
      <c r="C8" s="115">
        <f>'Ann 4'!C16-'Ann 5'!C12</f>
        <v>7260545.4545454551</v>
      </c>
      <c r="D8" s="115">
        <f>'Ann 4'!D16-'Ann 5'!D12</f>
        <v>8419259.6590909082</v>
      </c>
      <c r="E8" s="115">
        <f>'Ann 4'!E16-'Ann 5'!E12</f>
        <v>8914510.2272727266</v>
      </c>
      <c r="F8" s="115">
        <f>'Ann 4'!F16-'Ann 5'!F12</f>
        <v>9409760.7954545449</v>
      </c>
      <c r="G8" s="115">
        <f>'Ann 4'!G16-'Ann 5'!G12</f>
        <v>9905011.3636363633</v>
      </c>
      <c r="H8" s="115">
        <f>'Ann 4'!H16-'Ann 5'!H12</f>
        <v>9905011.3636363633</v>
      </c>
      <c r="I8" s="115">
        <f>'Ann 4'!I16-'Ann 5'!I12</f>
        <v>9905011.3636363633</v>
      </c>
      <c r="J8" s="115">
        <f>'Ann 4'!J16-'Ann 5'!J12</f>
        <v>9905011.3636363633</v>
      </c>
      <c r="K8" s="115">
        <f>'Ann 4'!K16-'Ann 5'!K12</f>
        <v>9905011.3636363633</v>
      </c>
    </row>
    <row r="9" spans="1:11" x14ac:dyDescent="0.6">
      <c r="A9" s="114" t="s">
        <v>178</v>
      </c>
      <c r="B9" s="115">
        <v>0</v>
      </c>
      <c r="C9" s="115">
        <v>0</v>
      </c>
      <c r="D9" s="115">
        <f>'Ann 5'!C23</f>
        <v>940254.54545454541</v>
      </c>
      <c r="E9" s="115">
        <f>'Ann 5'!D23</f>
        <v>1071119.9659090908</v>
      </c>
      <c r="F9" s="115">
        <f>'Ann 5'!E23</f>
        <v>1136688.6027272728</v>
      </c>
      <c r="G9" s="115">
        <f>'Ann 5'!F23</f>
        <v>1203380.2901454547</v>
      </c>
      <c r="H9" s="115">
        <f>'Ann 5'!G23</f>
        <v>1271273.6417056364</v>
      </c>
      <c r="I9" s="115">
        <f>'Ann 5'!H23</f>
        <v>1290927.7170795763</v>
      </c>
      <c r="J9" s="115">
        <f>'Ann 5'!I23</f>
        <v>1311957.5777296924</v>
      </c>
      <c r="K9" s="115">
        <f>'Ann 5'!J23</f>
        <v>1334459.5286253162</v>
      </c>
    </row>
    <row r="10" spans="1:11" x14ac:dyDescent="0.6">
      <c r="A10" s="114" t="s">
        <v>179</v>
      </c>
      <c r="B10" s="115">
        <v>0</v>
      </c>
      <c r="C10" s="115">
        <v>0</v>
      </c>
      <c r="D10" s="115">
        <f>'Ann 5'!C12</f>
        <v>726054.54545454541</v>
      </c>
      <c r="E10" s="115">
        <f>'Ann 5'!D12</f>
        <v>841925.96590909094</v>
      </c>
      <c r="F10" s="115">
        <f>'Ann 5'!E12</f>
        <v>891451.02272727271</v>
      </c>
      <c r="G10" s="115">
        <f>'Ann 5'!F12</f>
        <v>940976.07954545459</v>
      </c>
      <c r="H10" s="115">
        <f>'Ann 5'!G12</f>
        <v>990501.13636363635</v>
      </c>
      <c r="I10" s="115">
        <f>'Ann 5'!H12</f>
        <v>990501.13636363635</v>
      </c>
      <c r="J10" s="115">
        <f>'Ann 5'!I12</f>
        <v>990501.13636363635</v>
      </c>
      <c r="K10" s="115">
        <f>'Ann 5'!J12</f>
        <v>990501.13636363635</v>
      </c>
    </row>
    <row r="11" spans="1:11" x14ac:dyDescent="0.6">
      <c r="A11" s="114" t="s">
        <v>180</v>
      </c>
      <c r="B11" s="115">
        <v>0</v>
      </c>
      <c r="C11" s="115">
        <f>'Ann 4'!C9+'Ann 4'!C13-'Ann 5'!C23</f>
        <v>4531145.4545454551</v>
      </c>
      <c r="D11" s="115">
        <f>'Ann 4'!D9+'Ann 4'!D13-'Ann 5'!D23</f>
        <v>5132539.8465909092</v>
      </c>
      <c r="E11" s="115">
        <f>'Ann 4'!E9+'Ann 4'!E13-'Ann 5'!E23</f>
        <v>5440723.7122727279</v>
      </c>
      <c r="F11" s="115">
        <f>'Ann 4'!F9+'Ann 4'!F13-'Ann 5'!F23</f>
        <v>5754617.5556545453</v>
      </c>
      <c r="G11" s="115">
        <f>'Ann 4'!G9+'Ann 4'!G13-'Ann 5'!G23</f>
        <v>6074607.9501753636</v>
      </c>
      <c r="H11" s="115">
        <f>'Ann 4'!H9+'Ann 4'!H13-'Ann 5'!H23</f>
        <v>6163051.2893580943</v>
      </c>
      <c r="I11" s="115">
        <f>'Ann 4'!I9+'Ann 4'!I13-'Ann 5'!I23</f>
        <v>6257685.6622836152</v>
      </c>
      <c r="J11" s="115">
        <f>'Ann 4'!J9+'Ann 4'!J13-'Ann 5'!J23</f>
        <v>6358944.4413139233</v>
      </c>
      <c r="K11" s="115">
        <f>'Ann 4'!K9+'Ann 4'!K13-'Ann 5'!K23</f>
        <v>6467291.334876352</v>
      </c>
    </row>
    <row r="12" spans="1:11" x14ac:dyDescent="0.6">
      <c r="A12" s="114" t="s">
        <v>249</v>
      </c>
      <c r="B12" s="115">
        <f>'Ann 1'!C27*100000</f>
        <v>0</v>
      </c>
      <c r="C12" s="115"/>
      <c r="D12" s="115"/>
      <c r="E12" s="115"/>
      <c r="F12" s="115"/>
      <c r="G12" s="115"/>
      <c r="H12" s="115"/>
      <c r="I12" s="115"/>
      <c r="J12" s="115"/>
      <c r="K12" s="115"/>
    </row>
    <row r="13" spans="1:11" x14ac:dyDescent="0.6">
      <c r="A13" s="114" t="s">
        <v>162</v>
      </c>
      <c r="B13" s="115">
        <v>0</v>
      </c>
      <c r="C13" s="115">
        <f>'Ann 4'!C22</f>
        <v>360824.61538461543</v>
      </c>
      <c r="D13" s="115">
        <f>'Ann 4'!D22</f>
        <v>321884.61538461543</v>
      </c>
      <c r="E13" s="115">
        <f>'Ann 4'!E22</f>
        <v>273958.46153846168</v>
      </c>
      <c r="F13" s="115">
        <f>'Ann 4'!F22</f>
        <v>226032.30769230778</v>
      </c>
      <c r="G13" s="115">
        <f>'Ann 4'!G22</f>
        <v>178106.15384615393</v>
      </c>
      <c r="H13" s="115">
        <f>'Ann 4'!H22</f>
        <v>130180.00000000006</v>
      </c>
      <c r="I13" s="115">
        <f>'Ann 4'!I22</f>
        <v>82253.846153846229</v>
      </c>
      <c r="J13" s="115">
        <f>'Ann 4'!J22</f>
        <v>52300.000000000007</v>
      </c>
      <c r="K13" s="115">
        <f>'Ann 4'!K22</f>
        <v>52300.000000000007</v>
      </c>
    </row>
    <row r="14" spans="1:11" x14ac:dyDescent="0.6">
      <c r="A14" s="114"/>
      <c r="B14" s="115">
        <v>0</v>
      </c>
      <c r="C14" s="115">
        <f>C4+C8-C9+C10-C11-C13+C5+C6-C7</f>
        <v>2891575.3846153845</v>
      </c>
      <c r="D14" s="115">
        <f>D4+D8-D9+D10-D11-D13+D5+D6-D7</f>
        <v>4072946.135576922</v>
      </c>
      <c r="E14" s="115">
        <f>E4+E8-E9+E10-E11-E13+E5+E6-E7</f>
        <v>4479490.0787499975</v>
      </c>
      <c r="F14" s="115">
        <f t="shared" ref="F14:K14" si="1">F4+F8-F9+F10-F11-F13+F5+F6-F7</f>
        <v>4829069.360411535</v>
      </c>
      <c r="G14" s="115">
        <f t="shared" si="1"/>
        <v>5132007.7205355354</v>
      </c>
      <c r="H14" s="115">
        <f t="shared" si="1"/>
        <v>5139655.2640466765</v>
      </c>
      <c r="I14" s="115">
        <f t="shared" si="1"/>
        <v>5080963.6912127426</v>
      </c>
      <c r="J14" s="115">
        <f t="shared" si="1"/>
        <v>4943775.1864321949</v>
      </c>
      <c r="K14" s="115">
        <f t="shared" si="1"/>
        <v>5517020.3769475361</v>
      </c>
    </row>
    <row r="15" spans="1:11" x14ac:dyDescent="0.6">
      <c r="A15" s="114" t="s">
        <v>182</v>
      </c>
      <c r="B15" s="115">
        <v>0</v>
      </c>
      <c r="C15" s="115">
        <f>'Ann 4'!C28</f>
        <v>408097.61538461532</v>
      </c>
      <c r="D15" s="115">
        <f>'Ann 4'!D28</f>
        <v>615809.60913461528</v>
      </c>
      <c r="E15" s="115">
        <f>'Ann 4'!E28</f>
        <v>710066.80453846138</v>
      </c>
      <c r="F15" s="115">
        <f>'Ann 4'!F28</f>
        <v>798204.22957730759</v>
      </c>
      <c r="G15" s="115">
        <f>'Ann 4'!G28</f>
        <v>880671.20743810362</v>
      </c>
      <c r="H15" s="115">
        <f>'Ann 4'!H28</f>
        <v>880663.12205151131</v>
      </c>
      <c r="I15" s="115">
        <f>'Ann 4'!I28</f>
        <v>875835.9610352444</v>
      </c>
      <c r="J15" s="115">
        <f>'Ann 4'!J28</f>
        <v>861005.73697081022</v>
      </c>
      <c r="K15" s="115">
        <f>'Ann 4'!K28</f>
        <v>832721.15341169888</v>
      </c>
    </row>
    <row r="16" spans="1:11" x14ac:dyDescent="0.6">
      <c r="A16" s="114"/>
      <c r="B16" s="115">
        <v>0</v>
      </c>
      <c r="C16" s="115">
        <f>C14-C15</f>
        <v>2483477.769230769</v>
      </c>
      <c r="D16" s="115">
        <f t="shared" ref="D16:K16" si="2">D14-D15</f>
        <v>3457136.5264423066</v>
      </c>
      <c r="E16" s="115">
        <f t="shared" si="2"/>
        <v>3769423.2742115362</v>
      </c>
      <c r="F16" s="115">
        <f t="shared" si="2"/>
        <v>4030865.1308342274</v>
      </c>
      <c r="G16" s="115">
        <f t="shared" si="2"/>
        <v>4251336.5130974315</v>
      </c>
      <c r="H16" s="115">
        <f t="shared" si="2"/>
        <v>4258992.1419951655</v>
      </c>
      <c r="I16" s="115">
        <f t="shared" si="2"/>
        <v>4205127.7301774984</v>
      </c>
      <c r="J16" s="115">
        <f t="shared" si="2"/>
        <v>4082769.4494613847</v>
      </c>
      <c r="K16" s="115">
        <f t="shared" si="2"/>
        <v>4684299.2235358376</v>
      </c>
    </row>
    <row r="17" spans="1:12" x14ac:dyDescent="0.6">
      <c r="A17" s="114" t="s">
        <v>181</v>
      </c>
      <c r="B17" s="115">
        <v>0</v>
      </c>
      <c r="C17" s="115">
        <f>'Ann 4'!C30</f>
        <v>761782.21538461547</v>
      </c>
      <c r="D17" s="115">
        <f>'Ann 4'!D30</f>
        <v>1149511.2703846153</v>
      </c>
      <c r="E17" s="115">
        <f>'Ann 4'!E30</f>
        <v>1325458.0351384615</v>
      </c>
      <c r="F17" s="115">
        <f>'Ann 4'!F30</f>
        <v>1489981.2285443076</v>
      </c>
      <c r="G17" s="115">
        <f>'Ann 4'!G30</f>
        <v>1643919.5872177936</v>
      </c>
      <c r="H17" s="115">
        <f>'Ann 4'!H30</f>
        <v>1643904.4944961546</v>
      </c>
      <c r="I17" s="115">
        <f>'Ann 4'!I30</f>
        <v>1634893.7939324565</v>
      </c>
      <c r="J17" s="115">
        <f>'Ann 4'!J30</f>
        <v>1607210.7090121792</v>
      </c>
      <c r="K17" s="115">
        <f>'Ann 4'!K30</f>
        <v>1554412.8197018378</v>
      </c>
    </row>
    <row r="18" spans="1:12" x14ac:dyDescent="0.6">
      <c r="A18" s="114"/>
      <c r="B18" s="115">
        <v>0</v>
      </c>
      <c r="C18" s="115">
        <f>C16-C17</f>
        <v>1721695.5538461534</v>
      </c>
      <c r="D18" s="115">
        <f t="shared" ref="D18:K18" si="3">D16-D17</f>
        <v>2307625.2560576913</v>
      </c>
      <c r="E18" s="115">
        <f t="shared" si="3"/>
        <v>2443965.2390730744</v>
      </c>
      <c r="F18" s="115">
        <f t="shared" si="3"/>
        <v>2540883.9022899196</v>
      </c>
      <c r="G18" s="115">
        <f t="shared" si="3"/>
        <v>2607416.9258796377</v>
      </c>
      <c r="H18" s="115">
        <f t="shared" si="3"/>
        <v>2615087.6474990109</v>
      </c>
      <c r="I18" s="115">
        <f t="shared" si="3"/>
        <v>2570233.9362450419</v>
      </c>
      <c r="J18" s="115">
        <f t="shared" si="3"/>
        <v>2475558.7404492055</v>
      </c>
      <c r="K18" s="115">
        <f t="shared" si="3"/>
        <v>3129886.4038339998</v>
      </c>
    </row>
    <row r="19" spans="1:12" x14ac:dyDescent="0.6">
      <c r="A19" s="114" t="s">
        <v>183</v>
      </c>
      <c r="B19" s="115">
        <v>0</v>
      </c>
      <c r="C19" s="115">
        <f>SUM('Ann 13'!D9:D12)*100000</f>
        <v>399384.61538461538</v>
      </c>
      <c r="D19" s="115">
        <f>SUM('Ann 13'!D13:D16)*100000</f>
        <v>798769.23076923075</v>
      </c>
      <c r="E19" s="115">
        <f>SUM('Ann 13'!D17:D20)*100000</f>
        <v>798769.23076923075</v>
      </c>
      <c r="F19" s="115">
        <f>SUM('Ann 13'!D21:D24)*100000</f>
        <v>798769.23076923075</v>
      </c>
      <c r="G19" s="115">
        <f>SUM('Ann 13'!D25:D28)*100000</f>
        <v>798769.23076923075</v>
      </c>
      <c r="H19" s="115">
        <f>SUM('Ann 13'!D29:D32)*100000</f>
        <v>798769.23076923075</v>
      </c>
      <c r="I19" s="115">
        <f>SUM('Ann 13'!D33:D36)*100000</f>
        <v>798769.23076923203</v>
      </c>
      <c r="J19" s="115">
        <v>0</v>
      </c>
      <c r="K19" s="115">
        <v>0</v>
      </c>
    </row>
    <row r="20" spans="1:12" x14ac:dyDescent="0.6">
      <c r="A20" s="114" t="s">
        <v>184</v>
      </c>
      <c r="B20" s="115">
        <f>B4+B5+B6-B7-B12</f>
        <v>523000</v>
      </c>
      <c r="C20" s="115">
        <f>C18-C19</f>
        <v>1322310.9384615379</v>
      </c>
      <c r="D20" s="115">
        <f>D18-D19</f>
        <v>1508856.0252884605</v>
      </c>
      <c r="E20" s="115">
        <f>E18-E19</f>
        <v>1645196.0083038437</v>
      </c>
      <c r="F20" s="115">
        <f t="shared" ref="F20:K20" si="4">F18-F19</f>
        <v>1742114.6715206888</v>
      </c>
      <c r="G20" s="115">
        <f t="shared" si="4"/>
        <v>1808647.695110407</v>
      </c>
      <c r="H20" s="115">
        <f t="shared" si="4"/>
        <v>1816318.4167297801</v>
      </c>
      <c r="I20" s="115">
        <f t="shared" si="4"/>
        <v>1771464.70547581</v>
      </c>
      <c r="J20" s="115">
        <f t="shared" si="4"/>
        <v>2475558.7404492055</v>
      </c>
      <c r="K20" s="115">
        <f t="shared" si="4"/>
        <v>3129886.4038339998</v>
      </c>
    </row>
    <row r="22" spans="1:12" x14ac:dyDescent="0.6">
      <c r="A22" s="116" t="s">
        <v>185</v>
      </c>
      <c r="B22" s="117">
        <v>0.06</v>
      </c>
      <c r="C22" s="118"/>
      <c r="D22" s="116"/>
      <c r="E22" s="116"/>
      <c r="F22" s="116"/>
      <c r="G22" s="116"/>
      <c r="H22" s="116"/>
      <c r="I22" s="116"/>
      <c r="J22" s="116"/>
      <c r="K22" s="116"/>
      <c r="L22" s="116"/>
    </row>
    <row r="23" spans="1:12" x14ac:dyDescent="0.6">
      <c r="A23" s="116" t="s">
        <v>186</v>
      </c>
      <c r="B23" s="116">
        <v>1</v>
      </c>
      <c r="C23" s="119">
        <f>1/(1+$B$22)</f>
        <v>0.94339622641509424</v>
      </c>
      <c r="D23" s="119">
        <f>1/((1+$B$22)*(1+$B$22))</f>
        <v>0.88999644001423983</v>
      </c>
      <c r="E23" s="119">
        <f>1/((1+$B$22)*(1+$B$22)*(1+$B$22))</f>
        <v>0.8396192830323016</v>
      </c>
      <c r="F23" s="119">
        <f>1/((1+$B$22)*(1+$B$22)*(1+$B$22)*(1+$B$22))</f>
        <v>0.79209366323802044</v>
      </c>
      <c r="G23" s="119">
        <f>1/((1+$B$22)*(1+$B$22)*(1+$B$22)*(1+$B$22)*(1+$B$22))</f>
        <v>0.74725817286605689</v>
      </c>
      <c r="H23" s="119">
        <f>1/((1+$B$22)*(1+$B$22)*(1+$B$22)*(1+$B$22)*(1+$B$22)*(1+$B$22))</f>
        <v>0.70496054043967626</v>
      </c>
      <c r="I23" s="119">
        <f>1/((1+$B$22)*(1+$B$22)*(1+$B$22)*(1+$B$22)*(1+$B$22)*(1+$B$22)*(1+$B$22))</f>
        <v>0.6650571136223361</v>
      </c>
      <c r="J23" s="119">
        <f>1/((1+$B$22)*(1+$B$22)*(1+$B$22)*(1+$B$22)*(1+$B$22)*(1+$B$22)*(1+$B$22)*(1+$B$22))</f>
        <v>0.62741237134182648</v>
      </c>
      <c r="K23" s="119">
        <f>1/((1+$B$22)*(1+$B$22)*(1+$B$22)*(1+$B$22)*(1+$B$22)*(1+$B$22)*(1+$B$22)*(1+$B$22)*(1+$B$22))</f>
        <v>0.59189846353002495</v>
      </c>
      <c r="L23" s="116"/>
    </row>
    <row r="24" spans="1:12" x14ac:dyDescent="0.6">
      <c r="A24" s="116" t="s">
        <v>187</v>
      </c>
      <c r="B24" s="116">
        <f>B4+B8+B10+B5+B6</f>
        <v>6350000</v>
      </c>
      <c r="C24" s="116">
        <f>C4+C8+C10+C5+C6</f>
        <v>7783545.4545454551</v>
      </c>
      <c r="D24" s="116">
        <f t="shared" ref="D24:K24" si="5">D4+D8+D10</f>
        <v>10467625.143006992</v>
      </c>
      <c r="E24" s="116">
        <f t="shared" si="5"/>
        <v>11265292.218470279</v>
      </c>
      <c r="F24" s="116">
        <f t="shared" si="5"/>
        <v>11946407.826485662</v>
      </c>
      <c r="G24" s="116">
        <f t="shared" si="5"/>
        <v>12588102.114702508</v>
      </c>
      <c r="H24" s="116">
        <f t="shared" si="5"/>
        <v>12704160.195110407</v>
      </c>
      <c r="I24" s="116">
        <f t="shared" si="5"/>
        <v>12711830.91672978</v>
      </c>
      <c r="J24" s="116">
        <f t="shared" si="5"/>
        <v>12666977.205475811</v>
      </c>
      <c r="K24" s="116">
        <f t="shared" si="5"/>
        <v>13371071.240449205</v>
      </c>
      <c r="L24" s="116"/>
    </row>
    <row r="25" spans="1:12" x14ac:dyDescent="0.6">
      <c r="A25" s="116" t="s">
        <v>188</v>
      </c>
      <c r="B25" s="116">
        <f>B24*B23</f>
        <v>6350000</v>
      </c>
      <c r="C25" s="116">
        <f>C24*C23</f>
        <v>7342967.4099485418</v>
      </c>
      <c r="D25" s="116">
        <f t="shared" ref="D25:K25" si="6">D24*D23</f>
        <v>9316149.1126797702</v>
      </c>
      <c r="E25" s="116">
        <f t="shared" si="6"/>
        <v>9458556.5756213814</v>
      </c>
      <c r="F25" s="116">
        <f t="shared" si="6"/>
        <v>9462673.9378163852</v>
      </c>
      <c r="G25" s="116">
        <f t="shared" si="6"/>
        <v>9406562.1860839427</v>
      </c>
      <c r="H25" s="116">
        <f t="shared" si="6"/>
        <v>8955931.6369772553</v>
      </c>
      <c r="I25" s="116">
        <f t="shared" si="6"/>
        <v>8454093.5783354826</v>
      </c>
      <c r="J25" s="116">
        <f t="shared" si="6"/>
        <v>7947418.2062204406</v>
      </c>
      <c r="K25" s="116">
        <f t="shared" si="6"/>
        <v>7914316.5229723891</v>
      </c>
      <c r="L25" s="116"/>
    </row>
    <row r="26" spans="1:12" x14ac:dyDescent="0.6">
      <c r="A26" s="116" t="s">
        <v>189</v>
      </c>
      <c r="B26" s="116">
        <f>B9+B11+B13+B15+B17+B19+B7+B12</f>
        <v>5827000</v>
      </c>
      <c r="C26" s="116">
        <f t="shared" ref="C26:K26" si="7">C9+C11+C13+C15+C17+C19+C7+C12</f>
        <v>6461234.5160839157</v>
      </c>
      <c r="D26" s="116">
        <f t="shared" si="7"/>
        <v>8958769.1177185308</v>
      </c>
      <c r="E26" s="116">
        <f t="shared" si="7"/>
        <v>9620096.2101664338</v>
      </c>
      <c r="F26" s="116">
        <f t="shared" si="7"/>
        <v>10204293.15496497</v>
      </c>
      <c r="G26" s="116">
        <f t="shared" si="7"/>
        <v>10779454.419592099</v>
      </c>
      <c r="H26" s="116">
        <f t="shared" si="7"/>
        <v>10887841.778380627</v>
      </c>
      <c r="I26" s="116">
        <f t="shared" si="7"/>
        <v>10940366.211253971</v>
      </c>
      <c r="J26" s="116">
        <f t="shared" si="7"/>
        <v>10191418.465026604</v>
      </c>
      <c r="K26" s="116">
        <f t="shared" si="7"/>
        <v>10241184.836615205</v>
      </c>
      <c r="L26" s="116"/>
    </row>
    <row r="27" spans="1:12" x14ac:dyDescent="0.6">
      <c r="A27" s="116" t="s">
        <v>190</v>
      </c>
      <c r="B27" s="116">
        <f>B26*B23</f>
        <v>5827000</v>
      </c>
      <c r="C27" s="116">
        <f>C26*C23</f>
        <v>6095504.2604565239</v>
      </c>
      <c r="D27" s="116">
        <f t="shared" ref="D27:K27" si="8">D26*D23</f>
        <v>7973272.6216790043</v>
      </c>
      <c r="E27" s="116">
        <f t="shared" si="8"/>
        <v>8077218.2826817026</v>
      </c>
      <c r="F27" s="116">
        <f t="shared" si="8"/>
        <v>8082755.9458708605</v>
      </c>
      <c r="G27" s="116">
        <f t="shared" si="8"/>
        <v>8055035.4140773341</v>
      </c>
      <c r="H27" s="116">
        <f t="shared" si="8"/>
        <v>7675498.8243088927</v>
      </c>
      <c r="I27" s="116">
        <f t="shared" si="8"/>
        <v>7275968.3744278988</v>
      </c>
      <c r="J27" s="116">
        <f t="shared" si="8"/>
        <v>6394222.0264792191</v>
      </c>
      <c r="K27" s="116">
        <f t="shared" si="8"/>
        <v>6061741.5695195291</v>
      </c>
      <c r="L27" s="116"/>
    </row>
    <row r="28" spans="1:12" x14ac:dyDescent="0.6">
      <c r="A28" s="116"/>
      <c r="B28" s="116"/>
      <c r="C28" s="116"/>
      <c r="D28" s="116"/>
      <c r="E28" s="116"/>
      <c r="F28" s="116"/>
      <c r="G28" s="116"/>
      <c r="H28" s="116"/>
      <c r="I28" s="116"/>
      <c r="J28" s="116"/>
      <c r="K28" s="116"/>
      <c r="L28" s="116"/>
    </row>
    <row r="29" spans="1:12" x14ac:dyDescent="0.6">
      <c r="A29" s="116" t="s">
        <v>191</v>
      </c>
      <c r="B29" s="116">
        <f>B24-B26</f>
        <v>523000</v>
      </c>
      <c r="C29" s="116">
        <f>C24-C26</f>
        <v>1322310.9384615393</v>
      </c>
      <c r="D29" s="116">
        <f>D24-D26</f>
        <v>1508856.0252884608</v>
      </c>
      <c r="E29" s="116">
        <f t="shared" ref="E29:K29" si="9">E24-E26</f>
        <v>1645196.0083038453</v>
      </c>
      <c r="F29" s="116">
        <f t="shared" si="9"/>
        <v>1742114.6715206914</v>
      </c>
      <c r="G29" s="116">
        <f t="shared" si="9"/>
        <v>1808647.6951104086</v>
      </c>
      <c r="H29" s="116">
        <f t="shared" si="9"/>
        <v>1816318.4167297799</v>
      </c>
      <c r="I29" s="116">
        <f t="shared" si="9"/>
        <v>1771464.7054758091</v>
      </c>
      <c r="J29" s="116">
        <f t="shared" si="9"/>
        <v>2475558.7404492069</v>
      </c>
      <c r="K29" s="116">
        <f t="shared" si="9"/>
        <v>3129886.4038340002</v>
      </c>
      <c r="L29" s="116"/>
    </row>
    <row r="30" spans="1:12" x14ac:dyDescent="0.6">
      <c r="A30" s="116" t="s">
        <v>192</v>
      </c>
      <c r="B30" s="116">
        <f>B25-B27</f>
        <v>523000</v>
      </c>
      <c r="C30" s="116">
        <f>C29*C23</f>
        <v>1247463.1494920182</v>
      </c>
      <c r="D30" s="116">
        <f t="shared" ref="D30:K30" si="10">D29*D23</f>
        <v>1342876.4910007659</v>
      </c>
      <c r="E30" s="116">
        <f t="shared" si="10"/>
        <v>1381338.292939679</v>
      </c>
      <c r="F30" s="116">
        <f t="shared" si="10"/>
        <v>1379917.9919455252</v>
      </c>
      <c r="G30" s="116">
        <f t="shared" si="10"/>
        <v>1351526.772006609</v>
      </c>
      <c r="H30" s="116">
        <f t="shared" si="10"/>
        <v>1280432.8126683629</v>
      </c>
      <c r="I30" s="116">
        <f t="shared" si="10"/>
        <v>1178125.2039075834</v>
      </c>
      <c r="J30" s="116">
        <f t="shared" si="10"/>
        <v>1553196.1797412219</v>
      </c>
      <c r="K30" s="116">
        <f t="shared" si="10"/>
        <v>1852574.95345286</v>
      </c>
      <c r="L30" s="116">
        <f>SUM(B30:K30)</f>
        <v>13090451.847154625</v>
      </c>
    </row>
    <row r="31" spans="1:12" x14ac:dyDescent="0.6">
      <c r="A31" s="118"/>
      <c r="B31" s="118"/>
      <c r="C31" s="120"/>
      <c r="D31" s="120"/>
      <c r="E31" s="120"/>
      <c r="F31" s="120"/>
      <c r="G31" s="120"/>
      <c r="H31" s="118"/>
      <c r="I31" s="118"/>
      <c r="J31" s="118"/>
      <c r="K31" s="118"/>
      <c r="L31" s="118"/>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36"/>
  <sheetViews>
    <sheetView topLeftCell="A7" workbookViewId="0">
      <selection activeCell="C15" sqref="C15"/>
    </sheetView>
  </sheetViews>
  <sheetFormatPr defaultRowHeight="17" x14ac:dyDescent="0.6"/>
  <cols>
    <col min="1" max="1" width="28.26953125" style="8" customWidth="1"/>
    <col min="2" max="2" width="17.08984375" style="8" bestFit="1" customWidth="1"/>
    <col min="3" max="10" width="14.54296875" style="8" bestFit="1" customWidth="1"/>
    <col min="11" max="11" width="12.54296875" style="8" bestFit="1" customWidth="1"/>
    <col min="12" max="16384" width="8.7265625" style="8"/>
  </cols>
  <sheetData>
    <row r="1" spans="1:10" x14ac:dyDescent="0.6">
      <c r="A1" s="7" t="s">
        <v>167</v>
      </c>
    </row>
    <row r="2" spans="1:10" x14ac:dyDescent="0.6">
      <c r="A2" s="7"/>
    </row>
    <row r="3" spans="1:10" s="7" customFormat="1" x14ac:dyDescent="0.6">
      <c r="A3" s="129" t="s">
        <v>3</v>
      </c>
      <c r="B3" s="128" t="s">
        <v>48</v>
      </c>
      <c r="C3" s="128"/>
      <c r="D3" s="128"/>
      <c r="E3" s="128"/>
      <c r="F3" s="128"/>
      <c r="G3" s="128"/>
      <c r="H3" s="128"/>
      <c r="I3" s="128"/>
      <c r="J3" s="128"/>
    </row>
    <row r="4" spans="1:10" s="7" customFormat="1" x14ac:dyDescent="0.6">
      <c r="A4" s="129"/>
      <c r="B4" s="69" t="s">
        <v>39</v>
      </c>
      <c r="C4" s="69" t="s">
        <v>40</v>
      </c>
      <c r="D4" s="69" t="s">
        <v>41</v>
      </c>
      <c r="E4" s="69" t="s">
        <v>42</v>
      </c>
      <c r="F4" s="69" t="s">
        <v>43</v>
      </c>
      <c r="G4" s="69" t="s">
        <v>44</v>
      </c>
      <c r="H4" s="69" t="s">
        <v>45</v>
      </c>
      <c r="I4" s="69" t="s">
        <v>46</v>
      </c>
      <c r="J4" s="69" t="s">
        <v>47</v>
      </c>
    </row>
    <row r="5" spans="1:10" x14ac:dyDescent="0.6">
      <c r="A5" s="12" t="s">
        <v>248</v>
      </c>
      <c r="B5" s="87">
        <v>0.8</v>
      </c>
      <c r="C5" s="87">
        <v>0.85</v>
      </c>
      <c r="D5" s="87">
        <v>0.9</v>
      </c>
      <c r="E5" s="87">
        <v>0.95</v>
      </c>
      <c r="F5" s="87">
        <v>1</v>
      </c>
      <c r="G5" s="87">
        <v>1</v>
      </c>
      <c r="H5" s="87">
        <v>1</v>
      </c>
      <c r="I5" s="87">
        <v>1</v>
      </c>
      <c r="J5" s="87">
        <v>1</v>
      </c>
    </row>
    <row r="6" spans="1:10" x14ac:dyDescent="0.6">
      <c r="A6" s="12" t="s">
        <v>289</v>
      </c>
      <c r="B6" s="11">
        <f>$C$26*B5</f>
        <v>550800</v>
      </c>
      <c r="C6" s="11">
        <f t="shared" ref="C6:J6" si="0">$C$26*C5</f>
        <v>585225</v>
      </c>
      <c r="D6" s="11">
        <f t="shared" si="0"/>
        <v>619650</v>
      </c>
      <c r="E6" s="11">
        <f t="shared" si="0"/>
        <v>654075</v>
      </c>
      <c r="F6" s="11">
        <f t="shared" si="0"/>
        <v>688500</v>
      </c>
      <c r="G6" s="11">
        <f t="shared" si="0"/>
        <v>688500</v>
      </c>
      <c r="H6" s="11">
        <f t="shared" si="0"/>
        <v>688500</v>
      </c>
      <c r="I6" s="11">
        <f t="shared" si="0"/>
        <v>688500</v>
      </c>
      <c r="J6" s="11">
        <f t="shared" si="0"/>
        <v>688500</v>
      </c>
    </row>
    <row r="7" spans="1:10" x14ac:dyDescent="0.6">
      <c r="A7" s="12" t="s">
        <v>290</v>
      </c>
      <c r="B7" s="11">
        <f>$C$36*B5</f>
        <v>36720</v>
      </c>
      <c r="C7" s="11">
        <f t="shared" ref="C7:J7" si="1">$C$36*C5</f>
        <v>39015</v>
      </c>
      <c r="D7" s="11">
        <f t="shared" si="1"/>
        <v>41310</v>
      </c>
      <c r="E7" s="11">
        <f t="shared" si="1"/>
        <v>43605</v>
      </c>
      <c r="F7" s="11">
        <f t="shared" si="1"/>
        <v>45900</v>
      </c>
      <c r="G7" s="11">
        <f t="shared" si="1"/>
        <v>45900</v>
      </c>
      <c r="H7" s="11">
        <f t="shared" si="1"/>
        <v>45900</v>
      </c>
      <c r="I7" s="11">
        <f t="shared" si="1"/>
        <v>45900</v>
      </c>
      <c r="J7" s="11">
        <f t="shared" si="1"/>
        <v>45900</v>
      </c>
    </row>
    <row r="8" spans="1:10" x14ac:dyDescent="0.6">
      <c r="A8" s="12" t="s">
        <v>291</v>
      </c>
      <c r="B8" s="93">
        <f>B6*$B$14</f>
        <v>1377000</v>
      </c>
      <c r="C8" s="93">
        <f>C6*$B$14*1.05</f>
        <v>1536215.625</v>
      </c>
      <c r="D8" s="93">
        <f t="shared" ref="D8:J8" si="2">D6*$B$14*1.05</f>
        <v>1626581.25</v>
      </c>
      <c r="E8" s="93">
        <f t="shared" si="2"/>
        <v>1716946.875</v>
      </c>
      <c r="F8" s="93">
        <f t="shared" si="2"/>
        <v>1807312.5</v>
      </c>
      <c r="G8" s="93">
        <f t="shared" si="2"/>
        <v>1807312.5</v>
      </c>
      <c r="H8" s="93">
        <f t="shared" si="2"/>
        <v>1807312.5</v>
      </c>
      <c r="I8" s="93">
        <f t="shared" si="2"/>
        <v>1807312.5</v>
      </c>
      <c r="J8" s="93">
        <f t="shared" si="2"/>
        <v>1807312.5</v>
      </c>
    </row>
    <row r="9" spans="1:10" x14ac:dyDescent="0.6">
      <c r="A9" s="12" t="s">
        <v>292</v>
      </c>
      <c r="B9" s="93">
        <f>B7*$C$14</f>
        <v>6609600</v>
      </c>
      <c r="C9" s="93">
        <f>C7*$C$14*1.1</f>
        <v>7724970.0000000009</v>
      </c>
      <c r="D9" s="93">
        <f t="shared" ref="D9:J9" si="3">D7*$C$14*1.1</f>
        <v>8179380.0000000009</v>
      </c>
      <c r="E9" s="93">
        <f t="shared" si="3"/>
        <v>8633790</v>
      </c>
      <c r="F9" s="93">
        <f t="shared" si="3"/>
        <v>9088200</v>
      </c>
      <c r="G9" s="93">
        <f t="shared" si="3"/>
        <v>9088200</v>
      </c>
      <c r="H9" s="93">
        <f t="shared" si="3"/>
        <v>9088200</v>
      </c>
      <c r="I9" s="93">
        <f t="shared" si="3"/>
        <v>9088200</v>
      </c>
      <c r="J9" s="93">
        <f t="shared" si="3"/>
        <v>9088200</v>
      </c>
    </row>
    <row r="10" spans="1:10" s="48" customFormat="1" x14ac:dyDescent="0.6">
      <c r="A10" s="10" t="s">
        <v>293</v>
      </c>
      <c r="B10" s="93">
        <f>B8+B9</f>
        <v>7986600</v>
      </c>
      <c r="C10" s="93">
        <f t="shared" ref="C10:J10" si="4">C8+C9</f>
        <v>9261185.625</v>
      </c>
      <c r="D10" s="93">
        <f t="shared" si="4"/>
        <v>9805961.25</v>
      </c>
      <c r="E10" s="93">
        <f t="shared" si="4"/>
        <v>10350736.875</v>
      </c>
      <c r="F10" s="93">
        <f t="shared" si="4"/>
        <v>10895512.5</v>
      </c>
      <c r="G10" s="93">
        <f t="shared" si="4"/>
        <v>10895512.5</v>
      </c>
      <c r="H10" s="93">
        <f t="shared" si="4"/>
        <v>10895512.5</v>
      </c>
      <c r="I10" s="93">
        <f t="shared" si="4"/>
        <v>10895512.5</v>
      </c>
      <c r="J10" s="93">
        <f t="shared" si="4"/>
        <v>10895512.5</v>
      </c>
    </row>
    <row r="11" spans="1:10" x14ac:dyDescent="0.6">
      <c r="A11" s="48"/>
      <c r="B11" s="106"/>
      <c r="C11" s="106"/>
      <c r="D11" s="106"/>
      <c r="E11" s="106"/>
      <c r="F11" s="106"/>
      <c r="G11" s="106"/>
      <c r="H11" s="106"/>
      <c r="I11" s="106"/>
      <c r="J11" s="106"/>
    </row>
    <row r="12" spans="1:10" x14ac:dyDescent="0.6">
      <c r="B12" s="50"/>
      <c r="C12" s="50"/>
      <c r="D12" s="50"/>
      <c r="E12" s="50"/>
      <c r="F12" s="50"/>
      <c r="G12" s="50"/>
      <c r="H12" s="50"/>
      <c r="I12" s="50"/>
      <c r="J12" s="50"/>
    </row>
    <row r="13" spans="1:10" s="111" customFormat="1" ht="34" x14ac:dyDescent="0.35">
      <c r="A13" s="107" t="s">
        <v>168</v>
      </c>
      <c r="B13" s="108" t="s">
        <v>305</v>
      </c>
      <c r="C13" s="109" t="s">
        <v>306</v>
      </c>
      <c r="D13" s="110"/>
    </row>
    <row r="14" spans="1:10" s="111" customFormat="1" x14ac:dyDescent="0.35">
      <c r="A14" s="107" t="s">
        <v>169</v>
      </c>
      <c r="B14" s="112">
        <v>2.5</v>
      </c>
      <c r="C14" s="109">
        <v>180</v>
      </c>
      <c r="D14" s="110"/>
    </row>
    <row r="16" spans="1:10" x14ac:dyDescent="0.6">
      <c r="A16" s="7" t="s">
        <v>282</v>
      </c>
    </row>
    <row r="17" spans="1:3" x14ac:dyDescent="0.6">
      <c r="A17" s="8" t="s">
        <v>265</v>
      </c>
      <c r="B17" s="8" t="s">
        <v>266</v>
      </c>
      <c r="C17" s="8">
        <v>1</v>
      </c>
    </row>
    <row r="18" spans="1:3" x14ac:dyDescent="0.6">
      <c r="A18" s="8" t="s">
        <v>267</v>
      </c>
      <c r="B18" s="8" t="s">
        <v>268</v>
      </c>
      <c r="C18" s="8">
        <v>12</v>
      </c>
    </row>
    <row r="19" spans="1:3" x14ac:dyDescent="0.6">
      <c r="A19" s="8" t="s">
        <v>269</v>
      </c>
      <c r="B19" s="8" t="s">
        <v>270</v>
      </c>
      <c r="C19" s="8">
        <v>360</v>
      </c>
    </row>
    <row r="20" spans="1:3" x14ac:dyDescent="0.6">
      <c r="A20" s="8" t="s">
        <v>271</v>
      </c>
      <c r="B20" s="8" t="s">
        <v>270</v>
      </c>
      <c r="C20" s="8">
        <v>40</v>
      </c>
    </row>
    <row r="21" spans="1:3" x14ac:dyDescent="0.6">
      <c r="A21" s="8" t="s">
        <v>272</v>
      </c>
      <c r="B21" s="8" t="s">
        <v>273</v>
      </c>
      <c r="C21" s="8">
        <v>9</v>
      </c>
    </row>
    <row r="22" spans="1:3" x14ac:dyDescent="0.6">
      <c r="A22" s="8" t="s">
        <v>274</v>
      </c>
      <c r="B22" s="8" t="s">
        <v>275</v>
      </c>
      <c r="C22" s="8">
        <v>15</v>
      </c>
    </row>
    <row r="23" spans="1:3" x14ac:dyDescent="0.6">
      <c r="A23" s="8" t="s">
        <v>276</v>
      </c>
      <c r="B23" s="8" t="s">
        <v>277</v>
      </c>
      <c r="C23" s="8">
        <v>50</v>
      </c>
    </row>
    <row r="24" spans="1:3" x14ac:dyDescent="0.6">
      <c r="A24" s="8" t="s">
        <v>278</v>
      </c>
      <c r="B24" s="8" t="s">
        <v>279</v>
      </c>
      <c r="C24" s="8">
        <v>102</v>
      </c>
    </row>
    <row r="25" spans="1:3" x14ac:dyDescent="0.6">
      <c r="A25" s="8" t="s">
        <v>280</v>
      </c>
      <c r="B25" s="8" t="s">
        <v>277</v>
      </c>
      <c r="C25" s="8">
        <v>5100</v>
      </c>
    </row>
    <row r="26" spans="1:3" x14ac:dyDescent="0.6">
      <c r="A26" s="8" t="s">
        <v>281</v>
      </c>
      <c r="B26" s="8" t="s">
        <v>277</v>
      </c>
      <c r="C26" s="8">
        <v>688500</v>
      </c>
    </row>
    <row r="27" spans="1:3" x14ac:dyDescent="0.6">
      <c r="B27" s="8" t="s">
        <v>264</v>
      </c>
      <c r="C27" s="8">
        <v>688.5</v>
      </c>
    </row>
    <row r="29" spans="1:3" x14ac:dyDescent="0.6">
      <c r="A29" s="7" t="s">
        <v>283</v>
      </c>
    </row>
    <row r="30" spans="1:3" x14ac:dyDescent="0.6">
      <c r="A30" s="8" t="s">
        <v>265</v>
      </c>
      <c r="B30" s="8" t="s">
        <v>266</v>
      </c>
      <c r="C30" s="8">
        <v>1</v>
      </c>
    </row>
    <row r="31" spans="1:3" x14ac:dyDescent="0.6">
      <c r="A31" s="8" t="s">
        <v>267</v>
      </c>
      <c r="B31" s="8" t="s">
        <v>268</v>
      </c>
      <c r="C31" s="8">
        <v>24</v>
      </c>
    </row>
    <row r="32" spans="1:3" x14ac:dyDescent="0.6">
      <c r="A32" s="8" t="s">
        <v>269</v>
      </c>
      <c r="B32" s="8" t="s">
        <v>270</v>
      </c>
      <c r="C32" s="8">
        <v>360</v>
      </c>
    </row>
    <row r="33" spans="1:4" x14ac:dyDescent="0.6">
      <c r="A33" s="8" t="s">
        <v>284</v>
      </c>
      <c r="B33" s="8" t="s">
        <v>285</v>
      </c>
      <c r="C33" s="8">
        <v>1.25</v>
      </c>
    </row>
    <row r="34" spans="1:4" x14ac:dyDescent="0.6">
      <c r="A34" s="8" t="s">
        <v>286</v>
      </c>
      <c r="B34" s="8" t="s">
        <v>279</v>
      </c>
      <c r="C34" s="8">
        <v>102</v>
      </c>
    </row>
    <row r="35" spans="1:4" x14ac:dyDescent="0.6">
      <c r="A35" s="8" t="s">
        <v>287</v>
      </c>
      <c r="B35" s="8" t="s">
        <v>285</v>
      </c>
      <c r="C35" s="8">
        <v>127.5</v>
      </c>
    </row>
    <row r="36" spans="1:4" x14ac:dyDescent="0.6">
      <c r="A36" s="8" t="s">
        <v>288</v>
      </c>
      <c r="B36" s="8" t="s">
        <v>285</v>
      </c>
      <c r="C36" s="8">
        <v>45900</v>
      </c>
      <c r="D36" s="8">
        <f>C36+C26</f>
        <v>734400</v>
      </c>
    </row>
  </sheetData>
  <mergeCells count="2">
    <mergeCell ref="B3:J3"/>
    <mergeCell ref="A3:A4"/>
  </mergeCells>
  <pageMargins left="0.7" right="0.7" top="0.75" bottom="0.75" header="0.3" footer="0.3"/>
  <pageSetup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ht="17" x14ac:dyDescent="0.6">
      <c r="A3" t="s">
        <v>193</v>
      </c>
      <c r="B3" s="50">
        <f>'Ann 4'!C16/100000</f>
        <v>79.866</v>
      </c>
      <c r="C3" s="50">
        <f>'Ann 4'!D16/100000</f>
        <v>92.611856250000002</v>
      </c>
      <c r="D3" s="50">
        <f>'Ann 4'!E16/100000</f>
        <v>98.0596125</v>
      </c>
      <c r="E3" s="50">
        <f>'Ann 4'!F16/100000</f>
        <v>103.50736875</v>
      </c>
      <c r="F3" s="50">
        <f>'Ann 4'!G16/100000</f>
        <v>108.955125</v>
      </c>
      <c r="G3" s="50">
        <f>'Ann 4'!H16/100000</f>
        <v>108.955125</v>
      </c>
      <c r="H3" s="50">
        <f>'Ann 4'!I16/100000</f>
        <v>108.955125</v>
      </c>
      <c r="I3" s="1">
        <f>'Ann 4'!J16/100000</f>
        <v>108.955125</v>
      </c>
      <c r="J3" s="1">
        <f>'Ann 4'!K16/100000</f>
        <v>108.955125</v>
      </c>
    </row>
    <row r="4" spans="1:10" ht="17" x14ac:dyDescent="0.6">
      <c r="A4" t="s">
        <v>194</v>
      </c>
      <c r="B4" s="50">
        <f>'Ann 4'!C15/100000</f>
        <v>54.713999999999999</v>
      </c>
      <c r="C4" s="50">
        <f>'Ann 4'!D15/100000</f>
        <v>62.036598124999998</v>
      </c>
      <c r="D4" s="50">
        <f>'Ann 4'!E15/100000</f>
        <v>65.774123150000008</v>
      </c>
      <c r="E4" s="50">
        <f>'Ann 4'!F15/100000</f>
        <v>69.579978457999999</v>
      </c>
      <c r="F4" s="50">
        <f>'Ann 4'!G15/100000</f>
        <v>73.458815918810004</v>
      </c>
      <c r="G4" s="50">
        <f>'Ann 4'!H15/100000</f>
        <v>74.539790064376703</v>
      </c>
      <c r="H4" s="50">
        <f>'Ann 4'!I15/100000</f>
        <v>75.696432400133077</v>
      </c>
      <c r="I4" s="1">
        <f>'Ann 4'!J15/100000</f>
        <v>76.9340396993924</v>
      </c>
      <c r="J4" s="1">
        <f>'Ann 4'!K15/100000</f>
        <v>78.258279509599859</v>
      </c>
    </row>
    <row r="5" spans="1:10" ht="17" x14ac:dyDescent="0.6">
      <c r="A5" t="s">
        <v>195</v>
      </c>
      <c r="B5" s="50">
        <f>B3-B4</f>
        <v>25.152000000000001</v>
      </c>
      <c r="C5" s="50">
        <f t="shared" ref="C5:J5" si="0">C3-C4</f>
        <v>30.575258125000005</v>
      </c>
      <c r="D5" s="50">
        <f t="shared" si="0"/>
        <v>32.285489349999992</v>
      </c>
      <c r="E5" s="50">
        <f t="shared" si="0"/>
        <v>33.927390291999998</v>
      </c>
      <c r="F5" s="50">
        <f t="shared" si="0"/>
        <v>35.496309081189992</v>
      </c>
      <c r="G5" s="50">
        <f t="shared" si="0"/>
        <v>34.415334935623292</v>
      </c>
      <c r="H5" s="50">
        <f t="shared" si="0"/>
        <v>33.258692599866919</v>
      </c>
      <c r="I5" s="1">
        <f t="shared" si="0"/>
        <v>32.021085300607595</v>
      </c>
      <c r="J5" s="1">
        <f t="shared" si="0"/>
        <v>30.696845490400136</v>
      </c>
    </row>
    <row r="6" spans="1:10" ht="17" x14ac:dyDescent="0.6">
      <c r="A6" t="s">
        <v>196</v>
      </c>
      <c r="B6" s="50">
        <f>B5</f>
        <v>25.152000000000001</v>
      </c>
      <c r="C6" s="50">
        <f t="shared" ref="C6:J6" si="1">C5</f>
        <v>30.575258125000005</v>
      </c>
      <c r="D6" s="50">
        <f t="shared" si="1"/>
        <v>32.285489349999992</v>
      </c>
      <c r="E6" s="50">
        <f t="shared" si="1"/>
        <v>33.927390291999998</v>
      </c>
      <c r="F6" s="50">
        <f t="shared" si="1"/>
        <v>35.496309081189992</v>
      </c>
      <c r="G6" s="50">
        <f t="shared" si="1"/>
        <v>34.415334935623292</v>
      </c>
      <c r="H6" s="50">
        <f t="shared" si="1"/>
        <v>33.258692599866919</v>
      </c>
      <c r="I6" s="1">
        <f t="shared" si="1"/>
        <v>32.021085300607595</v>
      </c>
      <c r="J6" s="1">
        <f t="shared" si="1"/>
        <v>30.696845490400136</v>
      </c>
    </row>
    <row r="7" spans="1:10" ht="17" x14ac:dyDescent="0.6">
      <c r="A7" t="s">
        <v>197</v>
      </c>
      <c r="B7" s="127">
        <f>'Ann 4'!C27/100000</f>
        <v>13.603253846153844</v>
      </c>
      <c r="C7" s="127">
        <f>'Ann 4'!D27/100000</f>
        <v>20.526986971153846</v>
      </c>
      <c r="D7" s="127">
        <f>'Ann 4'!E27/100000</f>
        <v>23.668893484615381</v>
      </c>
      <c r="E7" s="127">
        <f>'Ann 4'!F27/100000</f>
        <v>26.606807652576919</v>
      </c>
      <c r="F7" s="127">
        <f>'Ann 4'!G27/100000</f>
        <v>29.355706914603456</v>
      </c>
      <c r="G7" s="127">
        <f>'Ann 4'!H27/100000</f>
        <v>29.355437401717044</v>
      </c>
      <c r="H7" s="127">
        <f>'Ann 4'!I27/100000</f>
        <v>29.19453203450815</v>
      </c>
      <c r="I7" s="5">
        <f>'Ann 4'!J27/100000</f>
        <v>28.700191232360339</v>
      </c>
      <c r="J7" s="5">
        <f>'Ann 4'!K27/100000</f>
        <v>27.757371780389963</v>
      </c>
    </row>
    <row r="8" spans="1:10" ht="17" x14ac:dyDescent="0.6">
      <c r="A8" t="s">
        <v>198</v>
      </c>
      <c r="B8" s="127">
        <f>'Ann 4'!C29/100000</f>
        <v>9.5222776923076928</v>
      </c>
      <c r="C8" s="127">
        <f>'Ann 4'!D29/100000</f>
        <v>14.368890879807692</v>
      </c>
      <c r="D8" s="127">
        <f>'Ann 4'!E29/100000</f>
        <v>16.568225439230766</v>
      </c>
      <c r="E8" s="127">
        <f>'Ann 4'!F29/100000</f>
        <v>18.624765356803845</v>
      </c>
      <c r="F8" s="127">
        <f>'Ann 4'!G29/100000</f>
        <v>20.548994840222417</v>
      </c>
      <c r="G8" s="127">
        <f>'Ann 4'!H29/100000</f>
        <v>20.548806181201929</v>
      </c>
      <c r="H8" s="127">
        <f>'Ann 4'!I29/100000</f>
        <v>20.436172424155703</v>
      </c>
      <c r="I8" s="5">
        <f>'Ann 4'!J29/100000</f>
        <v>20.090133862652237</v>
      </c>
      <c r="J8" s="5">
        <f>'Ann 4'!K29/100000</f>
        <v>19.430160246272973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tabSelected="1" workbookViewId="0">
      <selection activeCell="B8" sqref="B8"/>
    </sheetView>
  </sheetViews>
  <sheetFormatPr defaultRowHeight="17" x14ac:dyDescent="0.6"/>
  <cols>
    <col min="1" max="1" width="8.7265625" style="8"/>
    <col min="2" max="2" width="84" style="8" bestFit="1" customWidth="1"/>
    <col min="3" max="3" width="12.36328125" style="8" bestFit="1" customWidth="1"/>
    <col min="4" max="12" width="12.54296875" style="8" bestFit="1" customWidth="1"/>
    <col min="13" max="16384" width="8.7265625" style="8"/>
  </cols>
  <sheetData>
    <row r="1" spans="1:12" x14ac:dyDescent="0.6">
      <c r="A1" s="7" t="s">
        <v>218</v>
      </c>
      <c r="B1" s="7" t="s">
        <v>219</v>
      </c>
    </row>
    <row r="2" spans="1:12" x14ac:dyDescent="0.6">
      <c r="A2" s="8">
        <v>1</v>
      </c>
      <c r="B2" s="8" t="s">
        <v>311</v>
      </c>
    </row>
    <row r="3" spans="1:12" x14ac:dyDescent="0.6">
      <c r="A3" s="8">
        <v>2</v>
      </c>
      <c r="B3" s="8" t="s">
        <v>220</v>
      </c>
    </row>
    <row r="4" spans="1:12" x14ac:dyDescent="0.6">
      <c r="C4" s="8" t="s">
        <v>171</v>
      </c>
      <c r="D4" s="8">
        <v>25000</v>
      </c>
      <c r="E4" s="8">
        <f>D4*1.05</f>
        <v>26250</v>
      </c>
      <c r="F4" s="8">
        <f t="shared" ref="F4:H4" si="0">E4*1.05</f>
        <v>27562.5</v>
      </c>
      <c r="G4" s="8">
        <f t="shared" si="0"/>
        <v>28940.625</v>
      </c>
      <c r="H4" s="8">
        <f t="shared" si="0"/>
        <v>30387.65625</v>
      </c>
      <c r="I4" s="8">
        <f>H4</f>
        <v>30387.65625</v>
      </c>
      <c r="J4" s="8">
        <f t="shared" ref="J4:L4" si="1">I4</f>
        <v>30387.65625</v>
      </c>
      <c r="K4" s="8">
        <f t="shared" si="1"/>
        <v>30387.65625</v>
      </c>
      <c r="L4" s="8">
        <f t="shared" si="1"/>
        <v>30387.65625</v>
      </c>
    </row>
    <row r="5" spans="1:12" x14ac:dyDescent="0.6">
      <c r="C5" s="8" t="s">
        <v>73</v>
      </c>
      <c r="D5" s="8">
        <f>D4*10</f>
        <v>250000</v>
      </c>
      <c r="E5" s="8">
        <f t="shared" ref="E5:L5" si="2">E4*10</f>
        <v>262500</v>
      </c>
      <c r="F5" s="8">
        <f t="shared" si="2"/>
        <v>275625</v>
      </c>
      <c r="G5" s="8">
        <f t="shared" si="2"/>
        <v>289406.25</v>
      </c>
      <c r="H5" s="8">
        <f t="shared" si="2"/>
        <v>303876.5625</v>
      </c>
      <c r="I5" s="8">
        <f t="shared" si="2"/>
        <v>303876.5625</v>
      </c>
      <c r="J5" s="8">
        <f t="shared" si="2"/>
        <v>303876.5625</v>
      </c>
      <c r="K5" s="8">
        <f t="shared" si="2"/>
        <v>303876.5625</v>
      </c>
      <c r="L5" s="8">
        <f t="shared" si="2"/>
        <v>303876.5625</v>
      </c>
    </row>
    <row r="6" spans="1:12" x14ac:dyDescent="0.6">
      <c r="A6" s="8">
        <v>3</v>
      </c>
      <c r="B6" s="8" t="s">
        <v>245</v>
      </c>
    </row>
    <row r="7" spans="1:12" x14ac:dyDescent="0.6">
      <c r="A7" s="8">
        <v>4</v>
      </c>
      <c r="B7" s="8" t="s">
        <v>253</v>
      </c>
    </row>
    <row r="8" spans="1:12" x14ac:dyDescent="0.6">
      <c r="A8" s="8">
        <v>5</v>
      </c>
      <c r="B8" s="8" t="s">
        <v>298</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140</v>
      </c>
    </row>
    <row r="2" spans="1:11" x14ac:dyDescent="0.35">
      <c r="C2" t="s">
        <v>39</v>
      </c>
      <c r="D2" t="s">
        <v>40</v>
      </c>
      <c r="E2" t="s">
        <v>41</v>
      </c>
      <c r="F2" t="s">
        <v>42</v>
      </c>
      <c r="G2" t="s">
        <v>43</v>
      </c>
      <c r="H2" t="s">
        <v>44</v>
      </c>
      <c r="I2" t="s">
        <v>45</v>
      </c>
      <c r="J2" t="s">
        <v>46</v>
      </c>
      <c r="K2" t="s">
        <v>47</v>
      </c>
    </row>
    <row r="3" spans="1:11" x14ac:dyDescent="0.35">
      <c r="A3" t="s">
        <v>141</v>
      </c>
      <c r="C3">
        <f>'Ann 4'!C16/300*270</f>
        <v>7187940</v>
      </c>
      <c r="D3">
        <f>'Ann 4'!D16/300*270</f>
        <v>8335067.0625</v>
      </c>
      <c r="E3">
        <f>'Ann 4'!E16/300*270</f>
        <v>8825365.125</v>
      </c>
      <c r="F3">
        <f>'Ann 4'!F16/300*270</f>
        <v>9315663.1875</v>
      </c>
      <c r="G3">
        <f>'Ann 4'!G16/300*270</f>
        <v>9805961.25</v>
      </c>
      <c r="H3">
        <f>'Ann 4'!H16/300*270</f>
        <v>9805961.25</v>
      </c>
      <c r="I3">
        <f>'Ann 4'!I16/300*270</f>
        <v>9805961.25</v>
      </c>
      <c r="J3">
        <f>'Ann 4'!J16/300*270</f>
        <v>9805961.25</v>
      </c>
      <c r="K3">
        <f>'Ann 4'!K16/300*270</f>
        <v>9805961.25</v>
      </c>
    </row>
    <row r="4" spans="1:11" x14ac:dyDescent="0.35">
      <c r="A4" t="s">
        <v>142</v>
      </c>
      <c r="C4">
        <v>5000000</v>
      </c>
    </row>
    <row r="5" spans="1:11" x14ac:dyDescent="0.35">
      <c r="A5" t="s">
        <v>143</v>
      </c>
      <c r="C5">
        <v>21492978</v>
      </c>
    </row>
    <row r="7" spans="1:11" x14ac:dyDescent="0.35">
      <c r="A7" t="s">
        <v>144</v>
      </c>
      <c r="C7">
        <f>'Ann 3'!G19</f>
        <v>5827000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2"/>
  <sheetViews>
    <sheetView topLeftCell="A25" workbookViewId="0">
      <selection activeCell="C25" sqref="C25"/>
    </sheetView>
  </sheetViews>
  <sheetFormatPr defaultRowHeight="17" x14ac:dyDescent="0.6"/>
  <cols>
    <col min="1" max="1" width="8.7265625" style="8"/>
    <col min="2" max="2" width="44.90625" style="8" customWidth="1"/>
    <col min="3" max="3" width="13.26953125" style="8" customWidth="1"/>
    <col min="4" max="16384" width="8.7265625" style="8"/>
  </cols>
  <sheetData>
    <row r="1" spans="1:3" x14ac:dyDescent="0.6">
      <c r="A1" s="7" t="s">
        <v>221</v>
      </c>
    </row>
    <row r="3" spans="1:3" x14ac:dyDescent="0.6">
      <c r="A3" s="7" t="s">
        <v>0</v>
      </c>
    </row>
    <row r="5" spans="1:3" s="7" customFormat="1" x14ac:dyDescent="0.6">
      <c r="A5" s="44" t="s">
        <v>1</v>
      </c>
      <c r="B5" s="45"/>
      <c r="C5" s="46"/>
    </row>
    <row r="6" spans="1:3" ht="34" x14ac:dyDescent="0.6">
      <c r="A6" s="25" t="s">
        <v>2</v>
      </c>
      <c r="B6" s="25" t="s">
        <v>3</v>
      </c>
      <c r="C6" s="43" t="s">
        <v>4</v>
      </c>
    </row>
    <row r="7" spans="1:3" x14ac:dyDescent="0.6">
      <c r="A7" s="29">
        <v>1</v>
      </c>
      <c r="B7" s="30" t="s">
        <v>6</v>
      </c>
      <c r="C7" s="31"/>
    </row>
    <row r="8" spans="1:3" x14ac:dyDescent="0.6">
      <c r="A8" s="29" t="s">
        <v>5</v>
      </c>
      <c r="B8" s="30" t="s">
        <v>7</v>
      </c>
      <c r="C8" s="32">
        <v>0</v>
      </c>
    </row>
    <row r="9" spans="1:3" x14ac:dyDescent="0.6">
      <c r="A9" s="29"/>
      <c r="B9" s="30" t="s">
        <v>8</v>
      </c>
      <c r="C9" s="32">
        <f>SUM(C8)</f>
        <v>0</v>
      </c>
    </row>
    <row r="10" spans="1:3" x14ac:dyDescent="0.6">
      <c r="A10" s="29"/>
      <c r="B10" s="30"/>
      <c r="C10" s="31"/>
    </row>
    <row r="11" spans="1:3" x14ac:dyDescent="0.6">
      <c r="A11" s="29">
        <v>2</v>
      </c>
      <c r="B11" s="30" t="s">
        <v>166</v>
      </c>
      <c r="C11" s="32">
        <f>'Ann 3'!G5/100000</f>
        <v>16</v>
      </c>
    </row>
    <row r="12" spans="1:3" x14ac:dyDescent="0.6">
      <c r="A12" s="29" t="s">
        <v>5</v>
      </c>
      <c r="B12" s="30" t="s">
        <v>8</v>
      </c>
      <c r="C12" s="32">
        <f>C11</f>
        <v>16</v>
      </c>
    </row>
    <row r="13" spans="1:3" x14ac:dyDescent="0.6">
      <c r="A13" s="29"/>
      <c r="B13" s="30"/>
      <c r="C13" s="31"/>
    </row>
    <row r="14" spans="1:3" x14ac:dyDescent="0.6">
      <c r="A14" s="29">
        <v>3</v>
      </c>
      <c r="B14" s="30" t="s">
        <v>9</v>
      </c>
      <c r="C14" s="31"/>
    </row>
    <row r="15" spans="1:3" x14ac:dyDescent="0.6">
      <c r="A15" s="29" t="s">
        <v>5</v>
      </c>
      <c r="B15" s="30" t="s">
        <v>9</v>
      </c>
      <c r="C15" s="33"/>
    </row>
    <row r="16" spans="1:3" x14ac:dyDescent="0.6">
      <c r="A16" s="29"/>
      <c r="B16" s="30" t="s">
        <v>8</v>
      </c>
      <c r="C16" s="33">
        <f>C15</f>
        <v>0</v>
      </c>
    </row>
    <row r="17" spans="1:4" x14ac:dyDescent="0.6">
      <c r="A17" s="29"/>
      <c r="B17" s="30"/>
      <c r="C17" s="31"/>
    </row>
    <row r="18" spans="1:4" x14ac:dyDescent="0.6">
      <c r="A18" s="29">
        <v>4</v>
      </c>
      <c r="B18" s="30" t="s">
        <v>10</v>
      </c>
      <c r="C18" s="31"/>
    </row>
    <row r="19" spans="1:4" x14ac:dyDescent="0.6">
      <c r="A19" s="29" t="s">
        <v>5</v>
      </c>
      <c r="B19" s="30" t="s">
        <v>11</v>
      </c>
      <c r="C19" s="33">
        <f>'Ann 3'!G17/100000</f>
        <v>42.27</v>
      </c>
    </row>
    <row r="20" spans="1:4" x14ac:dyDescent="0.6">
      <c r="A20" s="29"/>
      <c r="B20" s="30" t="s">
        <v>8</v>
      </c>
      <c r="C20" s="34">
        <f>C19</f>
        <v>42.27</v>
      </c>
    </row>
    <row r="21" spans="1:4" x14ac:dyDescent="0.6">
      <c r="A21" s="29"/>
      <c r="B21" s="30"/>
      <c r="C21" s="31"/>
    </row>
    <row r="22" spans="1:4" x14ac:dyDescent="0.6">
      <c r="A22" s="29">
        <v>5</v>
      </c>
      <c r="B22" s="30" t="s">
        <v>12</v>
      </c>
      <c r="C22" s="31"/>
    </row>
    <row r="23" spans="1:4" x14ac:dyDescent="0.6">
      <c r="A23" s="29" t="s">
        <v>5</v>
      </c>
      <c r="B23" s="30" t="s">
        <v>13</v>
      </c>
      <c r="C23" s="32">
        <v>0</v>
      </c>
    </row>
    <row r="24" spans="1:4" x14ac:dyDescent="0.6">
      <c r="A24" s="29"/>
      <c r="B24" s="30"/>
      <c r="C24" s="32"/>
    </row>
    <row r="25" spans="1:4" x14ac:dyDescent="0.6">
      <c r="A25" s="29">
        <v>6</v>
      </c>
      <c r="B25" s="30" t="s">
        <v>14</v>
      </c>
      <c r="C25" s="32">
        <v>5.23</v>
      </c>
    </row>
    <row r="26" spans="1:4" x14ac:dyDescent="0.6">
      <c r="A26" s="29"/>
      <c r="B26" s="30"/>
      <c r="C26" s="32"/>
    </row>
    <row r="27" spans="1:4" x14ac:dyDescent="0.6">
      <c r="A27" s="29">
        <v>7</v>
      </c>
      <c r="B27" s="30" t="s">
        <v>15</v>
      </c>
      <c r="C27" s="32">
        <v>0</v>
      </c>
    </row>
    <row r="28" spans="1:4" x14ac:dyDescent="0.6">
      <c r="A28" s="29" t="s">
        <v>5</v>
      </c>
      <c r="B28" s="30" t="s">
        <v>16</v>
      </c>
      <c r="C28" s="32">
        <v>0</v>
      </c>
      <c r="D28" s="35"/>
    </row>
    <row r="29" spans="1:4" x14ac:dyDescent="0.6">
      <c r="A29" s="29"/>
      <c r="B29" s="30" t="s">
        <v>8</v>
      </c>
      <c r="C29" s="32"/>
    </row>
    <row r="30" spans="1:4" x14ac:dyDescent="0.6">
      <c r="A30" s="29"/>
      <c r="B30" s="30"/>
      <c r="C30" s="32"/>
    </row>
    <row r="31" spans="1:4" x14ac:dyDescent="0.6">
      <c r="A31" s="29">
        <v>8</v>
      </c>
      <c r="B31" s="30" t="s">
        <v>17</v>
      </c>
      <c r="C31" s="31"/>
    </row>
    <row r="32" spans="1:4" ht="34" x14ac:dyDescent="0.6">
      <c r="A32" s="29"/>
      <c r="B32" s="36" t="s">
        <v>18</v>
      </c>
      <c r="C32" s="31"/>
    </row>
    <row r="33" spans="1:3" x14ac:dyDescent="0.6">
      <c r="A33" s="29" t="s">
        <v>5</v>
      </c>
      <c r="B33" s="30" t="s">
        <v>19</v>
      </c>
      <c r="C33" s="32">
        <v>0</v>
      </c>
    </row>
    <row r="34" spans="1:3" x14ac:dyDescent="0.6">
      <c r="A34" s="29" t="s">
        <v>20</v>
      </c>
      <c r="B34" s="30" t="s">
        <v>21</v>
      </c>
      <c r="C34" s="32">
        <v>0</v>
      </c>
    </row>
    <row r="35" spans="1:3" x14ac:dyDescent="0.6">
      <c r="A35" s="29"/>
      <c r="B35" s="30" t="s">
        <v>8</v>
      </c>
      <c r="C35" s="32">
        <f>SUM(C33:C34)</f>
        <v>0</v>
      </c>
    </row>
    <row r="36" spans="1:3" x14ac:dyDescent="0.6">
      <c r="A36" s="29"/>
      <c r="B36" s="30"/>
      <c r="C36" s="32"/>
    </row>
    <row r="37" spans="1:3" x14ac:dyDescent="0.6">
      <c r="A37" s="29">
        <v>9</v>
      </c>
      <c r="B37" s="30" t="s">
        <v>165</v>
      </c>
      <c r="C37" s="32">
        <v>0</v>
      </c>
    </row>
    <row r="38" spans="1:3" x14ac:dyDescent="0.6">
      <c r="A38" s="29"/>
      <c r="B38" s="30"/>
      <c r="C38" s="31"/>
    </row>
    <row r="39" spans="1:3" x14ac:dyDescent="0.6">
      <c r="A39" s="37"/>
      <c r="B39" s="38" t="s">
        <v>22</v>
      </c>
      <c r="C39" s="39">
        <f>C35+C27+C25+C20+C16+C23+C37+C12</f>
        <v>63.5</v>
      </c>
    </row>
    <row r="40" spans="1:3" x14ac:dyDescent="0.6">
      <c r="A40" s="40"/>
    </row>
    <row r="41" spans="1:3" x14ac:dyDescent="0.6">
      <c r="A41" s="40"/>
    </row>
    <row r="42" spans="1:3" x14ac:dyDescent="0.6">
      <c r="A42" s="40"/>
    </row>
  </sheetData>
  <pageMargins left="0.7" right="0.7" top="0.75" bottom="0.75" header="0.3" footer="0.3"/>
  <pageSetup scale="98"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topLeftCell="B1" workbookViewId="0">
      <selection activeCell="C7" sqref="C6:C7"/>
    </sheetView>
  </sheetViews>
  <sheetFormatPr defaultRowHeight="17" x14ac:dyDescent="0.6"/>
  <cols>
    <col min="1" max="1" width="8.7265625" style="8"/>
    <col min="2" max="2" width="22.08984375" style="8" customWidth="1"/>
    <col min="3" max="3" width="18.81640625" style="8" bestFit="1" customWidth="1"/>
    <col min="4" max="16384" width="8.7265625" style="8"/>
  </cols>
  <sheetData>
    <row r="1" spans="1:4" x14ac:dyDescent="0.6">
      <c r="A1" s="7" t="s">
        <v>23</v>
      </c>
    </row>
    <row r="3" spans="1:4" x14ac:dyDescent="0.6">
      <c r="A3" s="52" t="s">
        <v>24</v>
      </c>
      <c r="B3" s="41" t="s">
        <v>25</v>
      </c>
      <c r="C3" s="42" t="s">
        <v>4</v>
      </c>
    </row>
    <row r="4" spans="1:4" x14ac:dyDescent="0.6">
      <c r="A4" s="47">
        <v>1</v>
      </c>
      <c r="B4" s="48" t="s">
        <v>26</v>
      </c>
      <c r="C4" s="34">
        <f>C8*10%</f>
        <v>6.3500000000000005</v>
      </c>
      <c r="D4" s="49"/>
    </row>
    <row r="5" spans="1:4" x14ac:dyDescent="0.6">
      <c r="A5" s="47">
        <v>2</v>
      </c>
      <c r="B5" s="48" t="s">
        <v>27</v>
      </c>
      <c r="C5" s="34">
        <v>0</v>
      </c>
      <c r="D5" s="50"/>
    </row>
    <row r="6" spans="1:4" x14ac:dyDescent="0.6">
      <c r="A6" s="47">
        <v>3</v>
      </c>
      <c r="B6" s="48" t="s">
        <v>28</v>
      </c>
      <c r="C6" s="32">
        <f>C8-C4-C7</f>
        <v>51.92</v>
      </c>
      <c r="D6" s="49"/>
    </row>
    <row r="7" spans="1:4" x14ac:dyDescent="0.6">
      <c r="A7" s="47">
        <v>4</v>
      </c>
      <c r="B7" s="48" t="s">
        <v>29</v>
      </c>
      <c r="C7" s="32">
        <f>'Ann 1'!C25</f>
        <v>5.23</v>
      </c>
      <c r="D7" s="49"/>
    </row>
    <row r="8" spans="1:4" x14ac:dyDescent="0.6">
      <c r="A8" s="20"/>
      <c r="B8" s="21" t="s">
        <v>8</v>
      </c>
      <c r="C8" s="51">
        <f>'Ann 1'!C39</f>
        <v>63.5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1"/>
  <sheetViews>
    <sheetView topLeftCell="A3" workbookViewId="0">
      <selection activeCell="B19" sqref="B19"/>
    </sheetView>
  </sheetViews>
  <sheetFormatPr defaultRowHeight="17" x14ac:dyDescent="0.6"/>
  <cols>
    <col min="1" max="1" width="3.6328125" style="8" customWidth="1"/>
    <col min="2" max="2" width="33.54296875" style="8" customWidth="1"/>
    <col min="3" max="3" width="8.7265625" style="8"/>
    <col min="4" max="4" width="12.7265625" style="8" bestFit="1" customWidth="1"/>
    <col min="5" max="5" width="8.7265625" style="8"/>
    <col min="6" max="6" width="10.54296875" style="8" customWidth="1"/>
    <col min="7" max="7" width="12.1796875" style="8" bestFit="1" customWidth="1"/>
    <col min="8" max="8" width="8.7265625" style="8"/>
    <col min="9" max="9" width="9.1796875" style="8" bestFit="1" customWidth="1"/>
    <col min="10" max="16384" width="8.7265625" style="8"/>
  </cols>
  <sheetData>
    <row r="1" spans="1:7" x14ac:dyDescent="0.6">
      <c r="A1" s="7" t="s">
        <v>30</v>
      </c>
    </row>
    <row r="3" spans="1:7" x14ac:dyDescent="0.6">
      <c r="A3" s="52" t="s">
        <v>246</v>
      </c>
      <c r="B3" s="41"/>
      <c r="C3" s="41"/>
      <c r="D3" s="41"/>
      <c r="E3" s="41" t="s">
        <v>31</v>
      </c>
      <c r="F3" s="41"/>
      <c r="G3" s="42" t="s">
        <v>32</v>
      </c>
    </row>
    <row r="4" spans="1:7" x14ac:dyDescent="0.6">
      <c r="A4" s="14">
        <v>1</v>
      </c>
      <c r="B4" s="53" t="s">
        <v>263</v>
      </c>
      <c r="C4" s="15"/>
      <c r="D4" s="54"/>
      <c r="E4" s="54">
        <v>1</v>
      </c>
      <c r="F4" s="55"/>
      <c r="G4" s="56">
        <f>4000*400</f>
        <v>1600000</v>
      </c>
    </row>
    <row r="5" spans="1:7" x14ac:dyDescent="0.6">
      <c r="A5" s="57" t="s">
        <v>247</v>
      </c>
      <c r="B5" s="58"/>
      <c r="C5" s="58"/>
      <c r="D5" s="58"/>
      <c r="E5" s="58"/>
      <c r="F5" s="58"/>
      <c r="G5" s="59">
        <f>SUM(G4:G4)</f>
        <v>1600000</v>
      </c>
    </row>
    <row r="6" spans="1:7" x14ac:dyDescent="0.6">
      <c r="A6" s="20"/>
      <c r="B6" s="21"/>
      <c r="C6" s="21"/>
      <c r="D6" s="21"/>
      <c r="E6" s="21"/>
      <c r="F6" s="21"/>
      <c r="G6" s="60"/>
    </row>
    <row r="7" spans="1:7" x14ac:dyDescent="0.6">
      <c r="A7" s="52" t="s">
        <v>33</v>
      </c>
      <c r="B7" s="41"/>
      <c r="C7" s="41"/>
      <c r="D7" s="41"/>
      <c r="E7" s="41" t="s">
        <v>31</v>
      </c>
      <c r="F7" s="41" t="s">
        <v>262</v>
      </c>
      <c r="G7" s="42" t="s">
        <v>32</v>
      </c>
    </row>
    <row r="8" spans="1:7" ht="34" x14ac:dyDescent="0.6">
      <c r="A8" s="122">
        <v>1</v>
      </c>
      <c r="B8" s="61" t="s">
        <v>254</v>
      </c>
      <c r="C8" s="48"/>
      <c r="D8" s="62"/>
      <c r="E8" s="62">
        <v>800</v>
      </c>
      <c r="F8" s="63">
        <v>5000</v>
      </c>
      <c r="G8" s="64">
        <f t="shared" ref="G8:G16" si="0">F8*E8</f>
        <v>4000000</v>
      </c>
    </row>
    <row r="9" spans="1:7" x14ac:dyDescent="0.6">
      <c r="A9" s="47">
        <v>2</v>
      </c>
      <c r="B9" s="61" t="s">
        <v>255</v>
      </c>
      <c r="C9" s="48"/>
      <c r="D9" s="62"/>
      <c r="E9" s="62">
        <v>1</v>
      </c>
      <c r="F9" s="63">
        <v>75000</v>
      </c>
      <c r="G9" s="64">
        <f t="shared" si="0"/>
        <v>75000</v>
      </c>
    </row>
    <row r="10" spans="1:7" x14ac:dyDescent="0.6">
      <c r="A10" s="47">
        <v>3</v>
      </c>
      <c r="B10" s="61" t="s">
        <v>256</v>
      </c>
      <c r="C10" s="48"/>
      <c r="D10" s="62"/>
      <c r="E10" s="62">
        <v>1</v>
      </c>
      <c r="F10" s="63">
        <v>50000</v>
      </c>
      <c r="G10" s="64">
        <f t="shared" si="0"/>
        <v>50000</v>
      </c>
    </row>
    <row r="11" spans="1:7" x14ac:dyDescent="0.6">
      <c r="A11" s="47">
        <v>4</v>
      </c>
      <c r="B11" s="61" t="s">
        <v>257</v>
      </c>
      <c r="C11" s="48"/>
      <c r="D11" s="62"/>
      <c r="E11" s="62">
        <v>1</v>
      </c>
      <c r="F11" s="63">
        <v>10000</v>
      </c>
      <c r="G11" s="64">
        <f t="shared" si="0"/>
        <v>10000</v>
      </c>
    </row>
    <row r="12" spans="1:7" x14ac:dyDescent="0.6">
      <c r="A12" s="47">
        <v>5</v>
      </c>
      <c r="B12" s="61" t="s">
        <v>258</v>
      </c>
      <c r="C12" s="48"/>
      <c r="D12" s="62"/>
      <c r="E12" s="62">
        <v>100</v>
      </c>
      <c r="F12" s="63">
        <v>100</v>
      </c>
      <c r="G12" s="64">
        <f t="shared" si="0"/>
        <v>10000</v>
      </c>
    </row>
    <row r="13" spans="1:7" x14ac:dyDescent="0.6">
      <c r="A13" s="47">
        <v>6</v>
      </c>
      <c r="B13" s="61" t="s">
        <v>259</v>
      </c>
      <c r="C13" s="48"/>
      <c r="D13" s="62"/>
      <c r="E13" s="62">
        <v>1</v>
      </c>
      <c r="F13" s="63">
        <v>10000</v>
      </c>
      <c r="G13" s="64">
        <f t="shared" si="0"/>
        <v>10000</v>
      </c>
    </row>
    <row r="14" spans="1:7" x14ac:dyDescent="0.6">
      <c r="A14" s="47">
        <v>7</v>
      </c>
      <c r="B14" s="61" t="s">
        <v>260</v>
      </c>
      <c r="C14" s="48"/>
      <c r="D14" s="62"/>
      <c r="E14" s="62">
        <v>1</v>
      </c>
      <c r="F14" s="63">
        <v>15000</v>
      </c>
      <c r="G14" s="64">
        <f t="shared" si="0"/>
        <v>15000</v>
      </c>
    </row>
    <row r="15" spans="1:7" x14ac:dyDescent="0.6">
      <c r="A15" s="47">
        <v>8</v>
      </c>
      <c r="B15" s="61" t="s">
        <v>261</v>
      </c>
      <c r="C15" s="48"/>
      <c r="D15" s="62"/>
      <c r="E15" s="62">
        <v>1</v>
      </c>
      <c r="F15" s="63">
        <v>7000</v>
      </c>
      <c r="G15" s="64">
        <f t="shared" ref="G15" si="1">F15*E15</f>
        <v>7000</v>
      </c>
    </row>
    <row r="16" spans="1:7" x14ac:dyDescent="0.6">
      <c r="A16" s="47">
        <v>9</v>
      </c>
      <c r="B16" s="61" t="s">
        <v>312</v>
      </c>
      <c r="C16" s="48"/>
      <c r="D16" s="62"/>
      <c r="E16" s="62">
        <v>1</v>
      </c>
      <c r="F16" s="63">
        <v>50000</v>
      </c>
      <c r="G16" s="64">
        <f t="shared" si="0"/>
        <v>50000</v>
      </c>
    </row>
    <row r="17" spans="1:7" s="7" customFormat="1" x14ac:dyDescent="0.6">
      <c r="A17" s="65" t="s">
        <v>34</v>
      </c>
      <c r="B17" s="66"/>
      <c r="C17" s="66"/>
      <c r="D17" s="66"/>
      <c r="E17" s="66"/>
      <c r="F17" s="66"/>
      <c r="G17" s="67">
        <f>SUM(G8:G16)</f>
        <v>4227000</v>
      </c>
    </row>
    <row r="18" spans="1:7" x14ac:dyDescent="0.6">
      <c r="A18" s="47"/>
      <c r="B18" s="48"/>
      <c r="C18" s="48"/>
      <c r="D18" s="48"/>
      <c r="E18" s="48"/>
      <c r="F18" s="48"/>
      <c r="G18" s="31"/>
    </row>
    <row r="19" spans="1:7" s="7" customFormat="1" x14ac:dyDescent="0.6">
      <c r="A19" s="65" t="s">
        <v>35</v>
      </c>
      <c r="B19" s="66"/>
      <c r="C19" s="66"/>
      <c r="D19" s="66"/>
      <c r="E19" s="66"/>
      <c r="F19" s="66"/>
      <c r="G19" s="67">
        <f>G17+G5</f>
        <v>5827000</v>
      </c>
    </row>
    <row r="20" spans="1:7" x14ac:dyDescent="0.6">
      <c r="G20" s="35"/>
    </row>
    <row r="21" spans="1:7" x14ac:dyDescent="0.6">
      <c r="G21" s="2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36"/>
  <sheetViews>
    <sheetView topLeftCell="A16" workbookViewId="0">
      <selection activeCell="B29" sqref="B29"/>
    </sheetView>
  </sheetViews>
  <sheetFormatPr defaultRowHeight="17" x14ac:dyDescent="0.6"/>
  <cols>
    <col min="1" max="1" width="8.7265625" style="8"/>
    <col min="2" max="2" width="55.7265625" style="8" bestFit="1" customWidth="1"/>
    <col min="3" max="11" width="15.6328125" style="8" bestFit="1" customWidth="1"/>
    <col min="12" max="16384" width="8.7265625" style="8"/>
  </cols>
  <sheetData>
    <row r="1" spans="1:11" x14ac:dyDescent="0.6">
      <c r="A1" s="7" t="s">
        <v>36</v>
      </c>
    </row>
    <row r="3" spans="1:11" s="7" customFormat="1" x14ac:dyDescent="0.6">
      <c r="A3" s="129" t="s">
        <v>37</v>
      </c>
      <c r="B3" s="129" t="s">
        <v>38</v>
      </c>
      <c r="C3" s="128" t="s">
        <v>48</v>
      </c>
      <c r="D3" s="128"/>
      <c r="E3" s="128"/>
      <c r="F3" s="128"/>
      <c r="G3" s="128"/>
      <c r="H3" s="128"/>
      <c r="I3" s="128"/>
      <c r="J3" s="128"/>
      <c r="K3" s="128"/>
    </row>
    <row r="4" spans="1:11" s="7" customFormat="1" x14ac:dyDescent="0.6">
      <c r="A4" s="129"/>
      <c r="B4" s="129"/>
      <c r="C4" s="69" t="s">
        <v>39</v>
      </c>
      <c r="D4" s="69" t="s">
        <v>40</v>
      </c>
      <c r="E4" s="69" t="s">
        <v>41</v>
      </c>
      <c r="F4" s="69" t="s">
        <v>42</v>
      </c>
      <c r="G4" s="69" t="s">
        <v>43</v>
      </c>
      <c r="H4" s="69" t="s">
        <v>44</v>
      </c>
      <c r="I4" s="69" t="s">
        <v>45</v>
      </c>
      <c r="J4" s="69" t="s">
        <v>46</v>
      </c>
      <c r="K4" s="69" t="s">
        <v>47</v>
      </c>
    </row>
    <row r="5" spans="1:11" x14ac:dyDescent="0.6">
      <c r="A5" s="12"/>
      <c r="B5" s="12" t="s">
        <v>49</v>
      </c>
      <c r="C5" s="12">
        <v>12</v>
      </c>
      <c r="D5" s="12">
        <v>12</v>
      </c>
      <c r="E5" s="12">
        <v>12</v>
      </c>
      <c r="F5" s="12">
        <v>12</v>
      </c>
      <c r="G5" s="12">
        <v>12</v>
      </c>
      <c r="H5" s="12">
        <v>12</v>
      </c>
      <c r="I5" s="12">
        <v>12</v>
      </c>
      <c r="J5" s="12">
        <v>12</v>
      </c>
      <c r="K5" s="12">
        <v>12</v>
      </c>
    </row>
    <row r="6" spans="1:11" x14ac:dyDescent="0.6">
      <c r="A6" s="12"/>
      <c r="B6" s="12"/>
      <c r="C6" s="12"/>
      <c r="D6" s="12"/>
      <c r="E6" s="12"/>
      <c r="F6" s="12"/>
      <c r="G6" s="12"/>
      <c r="H6" s="12"/>
      <c r="I6" s="12"/>
      <c r="J6" s="12"/>
      <c r="K6" s="12"/>
    </row>
    <row r="7" spans="1:11" x14ac:dyDescent="0.6">
      <c r="A7" s="12"/>
      <c r="B7" s="12" t="s">
        <v>170</v>
      </c>
      <c r="C7" s="11">
        <f>50000+C36</f>
        <v>300000</v>
      </c>
      <c r="D7" s="11">
        <f t="shared" ref="D7:K7" si="0">50000+D36</f>
        <v>312500</v>
      </c>
      <c r="E7" s="11">
        <f t="shared" si="0"/>
        <v>325625</v>
      </c>
      <c r="F7" s="11">
        <f t="shared" si="0"/>
        <v>339406.25</v>
      </c>
      <c r="G7" s="11">
        <f t="shared" si="0"/>
        <v>353876.5625</v>
      </c>
      <c r="H7" s="11">
        <f t="shared" si="0"/>
        <v>353876.5625</v>
      </c>
      <c r="I7" s="11">
        <f t="shared" si="0"/>
        <v>353876.5625</v>
      </c>
      <c r="J7" s="11">
        <f t="shared" si="0"/>
        <v>353876.5625</v>
      </c>
      <c r="K7" s="11">
        <f t="shared" si="0"/>
        <v>353876.5625</v>
      </c>
    </row>
    <row r="8" spans="1:11" x14ac:dyDescent="0.6">
      <c r="A8" s="12"/>
      <c r="B8" s="12" t="s">
        <v>297</v>
      </c>
      <c r="C8" s="11">
        <f>50%*C16</f>
        <v>3993300</v>
      </c>
      <c r="D8" s="11">
        <f t="shared" ref="D8:K8" si="1">50%*D16</f>
        <v>4630592.8125</v>
      </c>
      <c r="E8" s="11">
        <f t="shared" si="1"/>
        <v>4902980.625</v>
      </c>
      <c r="F8" s="11">
        <f t="shared" si="1"/>
        <v>5175368.4375</v>
      </c>
      <c r="G8" s="11">
        <f t="shared" si="1"/>
        <v>5447756.25</v>
      </c>
      <c r="H8" s="11">
        <f t="shared" si="1"/>
        <v>5447756.25</v>
      </c>
      <c r="I8" s="11">
        <f t="shared" si="1"/>
        <v>5447756.25</v>
      </c>
      <c r="J8" s="11">
        <f t="shared" si="1"/>
        <v>5447756.25</v>
      </c>
      <c r="K8" s="11">
        <f t="shared" si="1"/>
        <v>5447756.25</v>
      </c>
    </row>
    <row r="9" spans="1:11" x14ac:dyDescent="0.6">
      <c r="A9" s="12"/>
      <c r="B9" s="12" t="s">
        <v>173</v>
      </c>
      <c r="C9" s="11">
        <f t="shared" ref="C9:K9" si="2">SUM(C7:C8)</f>
        <v>4293300</v>
      </c>
      <c r="D9" s="11">
        <f t="shared" si="2"/>
        <v>4943092.8125</v>
      </c>
      <c r="E9" s="11">
        <f t="shared" si="2"/>
        <v>5228605.625</v>
      </c>
      <c r="F9" s="11">
        <f t="shared" si="2"/>
        <v>5514774.6875</v>
      </c>
      <c r="G9" s="11">
        <f t="shared" si="2"/>
        <v>5801632.8125</v>
      </c>
      <c r="H9" s="11">
        <f t="shared" si="2"/>
        <v>5801632.8125</v>
      </c>
      <c r="I9" s="11">
        <f t="shared" si="2"/>
        <v>5801632.8125</v>
      </c>
      <c r="J9" s="11">
        <f t="shared" si="2"/>
        <v>5801632.8125</v>
      </c>
      <c r="K9" s="11">
        <f t="shared" si="2"/>
        <v>5801632.8125</v>
      </c>
    </row>
    <row r="10" spans="1:11" x14ac:dyDescent="0.6">
      <c r="A10" s="12"/>
      <c r="B10" s="12" t="s">
        <v>174</v>
      </c>
      <c r="C10" s="11">
        <f>SUM(C9)</f>
        <v>4293300</v>
      </c>
      <c r="D10" s="11">
        <f t="shared" ref="D10:K10" si="3">SUM(D9)</f>
        <v>4943092.8125</v>
      </c>
      <c r="E10" s="11">
        <f t="shared" si="3"/>
        <v>5228605.625</v>
      </c>
      <c r="F10" s="11">
        <f t="shared" si="3"/>
        <v>5514774.6875</v>
      </c>
      <c r="G10" s="11">
        <f t="shared" si="3"/>
        <v>5801632.8125</v>
      </c>
      <c r="H10" s="11">
        <f t="shared" si="3"/>
        <v>5801632.8125</v>
      </c>
      <c r="I10" s="11">
        <f t="shared" si="3"/>
        <v>5801632.8125</v>
      </c>
      <c r="J10" s="11">
        <f t="shared" si="3"/>
        <v>5801632.8125</v>
      </c>
      <c r="K10" s="11">
        <f t="shared" si="3"/>
        <v>5801632.8125</v>
      </c>
    </row>
    <row r="11" spans="1:11" x14ac:dyDescent="0.6">
      <c r="A11" s="12"/>
      <c r="B11" s="12"/>
      <c r="C11" s="11"/>
      <c r="D11" s="11"/>
      <c r="E11" s="11"/>
      <c r="F11" s="11"/>
      <c r="G11" s="11"/>
      <c r="H11" s="11"/>
      <c r="I11" s="11"/>
      <c r="J11" s="11"/>
      <c r="K11" s="11"/>
    </row>
    <row r="12" spans="1:11" x14ac:dyDescent="0.6">
      <c r="A12" s="12"/>
      <c r="B12" s="12" t="s">
        <v>51</v>
      </c>
      <c r="C12" s="11">
        <f>'Ann 8'!E13</f>
        <v>1178100</v>
      </c>
      <c r="D12" s="11">
        <f>1.07*C12</f>
        <v>1260567</v>
      </c>
      <c r="E12" s="11">
        <f t="shared" ref="E12:K12" si="4">1.07*D12</f>
        <v>1348806.6900000002</v>
      </c>
      <c r="F12" s="11">
        <f t="shared" si="4"/>
        <v>1443223.1583000002</v>
      </c>
      <c r="G12" s="11">
        <f t="shared" si="4"/>
        <v>1544248.7793810004</v>
      </c>
      <c r="H12" s="11">
        <f t="shared" si="4"/>
        <v>1652346.1939376707</v>
      </c>
      <c r="I12" s="11">
        <f t="shared" si="4"/>
        <v>1768010.4275133077</v>
      </c>
      <c r="J12" s="11">
        <f t="shared" si="4"/>
        <v>1891771.1574392393</v>
      </c>
      <c r="K12" s="11">
        <f t="shared" si="4"/>
        <v>2024195.1384599863</v>
      </c>
    </row>
    <row r="13" spans="1:11" x14ac:dyDescent="0.6">
      <c r="A13" s="12"/>
      <c r="B13" s="12" t="s">
        <v>8</v>
      </c>
      <c r="C13" s="11">
        <f t="shared" ref="C13:K13" si="5">SUM(C12:C12)</f>
        <v>1178100</v>
      </c>
      <c r="D13" s="11">
        <f t="shared" si="5"/>
        <v>1260567</v>
      </c>
      <c r="E13" s="11">
        <f t="shared" si="5"/>
        <v>1348806.6900000002</v>
      </c>
      <c r="F13" s="11">
        <f t="shared" si="5"/>
        <v>1443223.1583000002</v>
      </c>
      <c r="G13" s="11">
        <f t="shared" si="5"/>
        <v>1544248.7793810004</v>
      </c>
      <c r="H13" s="11">
        <f t="shared" si="5"/>
        <v>1652346.1939376707</v>
      </c>
      <c r="I13" s="11">
        <f t="shared" si="5"/>
        <v>1768010.4275133077</v>
      </c>
      <c r="J13" s="11">
        <f t="shared" si="5"/>
        <v>1891771.1574392393</v>
      </c>
      <c r="K13" s="11">
        <f t="shared" si="5"/>
        <v>2024195.1384599863</v>
      </c>
    </row>
    <row r="14" spans="1:11" x14ac:dyDescent="0.6">
      <c r="A14" s="12"/>
      <c r="B14" s="12"/>
      <c r="C14" s="11"/>
      <c r="D14" s="11"/>
      <c r="E14" s="11"/>
      <c r="F14" s="11"/>
      <c r="G14" s="11"/>
      <c r="H14" s="11"/>
      <c r="I14" s="11"/>
      <c r="J14" s="11"/>
      <c r="K14" s="11"/>
    </row>
    <row r="15" spans="1:11" x14ac:dyDescent="0.6">
      <c r="A15" s="12"/>
      <c r="B15" s="12" t="s">
        <v>88</v>
      </c>
      <c r="C15" s="11">
        <f t="shared" ref="C15:K15" si="6">C13+C10</f>
        <v>5471400</v>
      </c>
      <c r="D15" s="11">
        <f t="shared" si="6"/>
        <v>6203659.8125</v>
      </c>
      <c r="E15" s="11">
        <f t="shared" si="6"/>
        <v>6577412.3150000004</v>
      </c>
      <c r="F15" s="11">
        <f t="shared" si="6"/>
        <v>6957997.8458000002</v>
      </c>
      <c r="G15" s="11">
        <f t="shared" si="6"/>
        <v>7345881.5918810004</v>
      </c>
      <c r="H15" s="11">
        <f t="shared" si="6"/>
        <v>7453979.0064376704</v>
      </c>
      <c r="I15" s="11">
        <f t="shared" si="6"/>
        <v>7569643.2400133079</v>
      </c>
      <c r="J15" s="11">
        <f t="shared" si="6"/>
        <v>7693403.9699392393</v>
      </c>
      <c r="K15" s="11">
        <f t="shared" si="6"/>
        <v>7825827.9509599861</v>
      </c>
    </row>
    <row r="16" spans="1:11" x14ac:dyDescent="0.6">
      <c r="A16" s="12"/>
      <c r="B16" s="12" t="s">
        <v>89</v>
      </c>
      <c r="C16" s="11">
        <f>Budgets!B10</f>
        <v>7986600</v>
      </c>
      <c r="D16" s="11">
        <f>Budgets!C10</f>
        <v>9261185.625</v>
      </c>
      <c r="E16" s="11">
        <f>Budgets!D10</f>
        <v>9805961.25</v>
      </c>
      <c r="F16" s="11">
        <f>Budgets!E10</f>
        <v>10350736.875</v>
      </c>
      <c r="G16" s="11">
        <f>Budgets!F10</f>
        <v>10895512.5</v>
      </c>
      <c r="H16" s="11">
        <f>Budgets!G10</f>
        <v>10895512.5</v>
      </c>
      <c r="I16" s="11">
        <f>Budgets!H10</f>
        <v>10895512.5</v>
      </c>
      <c r="J16" s="11">
        <f>Budgets!I10</f>
        <v>10895512.5</v>
      </c>
      <c r="K16" s="11">
        <f>Budgets!J10</f>
        <v>10895512.5</v>
      </c>
    </row>
    <row r="17" spans="1:11" x14ac:dyDescent="0.6">
      <c r="A17" s="12"/>
      <c r="B17" s="12" t="s">
        <v>90</v>
      </c>
      <c r="C17" s="11">
        <f>C16-C15</f>
        <v>2515200</v>
      </c>
      <c r="D17" s="11">
        <f t="shared" ref="D17:K17" si="7">D16-D15</f>
        <v>3057525.8125</v>
      </c>
      <c r="E17" s="11">
        <f t="shared" si="7"/>
        <v>3228548.9349999996</v>
      </c>
      <c r="F17" s="11">
        <f t="shared" si="7"/>
        <v>3392739.0291999998</v>
      </c>
      <c r="G17" s="11">
        <f t="shared" si="7"/>
        <v>3549630.9081189996</v>
      </c>
      <c r="H17" s="11">
        <f t="shared" si="7"/>
        <v>3441533.4935623296</v>
      </c>
      <c r="I17" s="11">
        <f t="shared" si="7"/>
        <v>3325869.2599866921</v>
      </c>
      <c r="J17" s="11">
        <f t="shared" si="7"/>
        <v>3202108.5300607607</v>
      </c>
      <c r="K17" s="11">
        <f t="shared" si="7"/>
        <v>3069684.5490400139</v>
      </c>
    </row>
    <row r="18" spans="1:11" x14ac:dyDescent="0.6">
      <c r="A18" s="12"/>
      <c r="B18" s="12"/>
      <c r="C18" s="11"/>
      <c r="D18" s="11"/>
      <c r="E18" s="11"/>
      <c r="F18" s="11"/>
      <c r="G18" s="11"/>
      <c r="H18" s="11"/>
      <c r="I18" s="11"/>
      <c r="J18" s="11"/>
      <c r="K18" s="11"/>
    </row>
    <row r="19" spans="1:11" x14ac:dyDescent="0.6">
      <c r="A19" s="12"/>
      <c r="B19" s="12" t="s">
        <v>91</v>
      </c>
      <c r="C19" s="11"/>
      <c r="D19" s="11"/>
      <c r="E19" s="11"/>
      <c r="F19" s="11"/>
      <c r="G19" s="11"/>
      <c r="H19" s="11"/>
      <c r="I19" s="11"/>
      <c r="J19" s="11"/>
      <c r="K19" s="11"/>
    </row>
    <row r="20" spans="1:11" x14ac:dyDescent="0.6">
      <c r="A20" s="12"/>
      <c r="B20" s="12" t="s">
        <v>92</v>
      </c>
      <c r="C20" s="11">
        <f>SUM('Ann 13'!E9:E12)*100000</f>
        <v>308524.61538461543</v>
      </c>
      <c r="D20" s="11">
        <f>SUM('Ann 13'!E13:E16)*100000</f>
        <v>269584.61538461543</v>
      </c>
      <c r="E20" s="11">
        <f>SUM('Ann 13'!E17:E20)*100000</f>
        <v>221658.46153846168</v>
      </c>
      <c r="F20" s="11">
        <f>SUM('Ann 13'!E21:E24)*100000</f>
        <v>173732.30769230778</v>
      </c>
      <c r="G20" s="11">
        <f>SUM('Ann 13'!E25:E28)*100000</f>
        <v>125806.15384615392</v>
      </c>
      <c r="H20" s="11">
        <f>SUM('Ann 13'!E29:E32)*100000</f>
        <v>77880.000000000058</v>
      </c>
      <c r="I20" s="11">
        <f>SUM('Ann 13'!E33:E36)*100000</f>
        <v>29953.846153846225</v>
      </c>
      <c r="J20" s="11">
        <v>0</v>
      </c>
      <c r="K20" s="11">
        <v>0</v>
      </c>
    </row>
    <row r="21" spans="1:11" x14ac:dyDescent="0.6">
      <c r="A21" s="12"/>
      <c r="B21" s="12" t="s">
        <v>164</v>
      </c>
      <c r="C21" s="11">
        <f>'Ann 1'!$C$25*100000*10%</f>
        <v>52300.000000000007</v>
      </c>
      <c r="D21" s="11">
        <f>'Ann 1'!$C$25*100000*10%</f>
        <v>52300.000000000007</v>
      </c>
      <c r="E21" s="11">
        <f>'Ann 1'!$C$25*100000*10%</f>
        <v>52300.000000000007</v>
      </c>
      <c r="F21" s="11">
        <f>'Ann 1'!$C$25*100000*10%</f>
        <v>52300.000000000007</v>
      </c>
      <c r="G21" s="11">
        <f>'Ann 1'!$C$25*100000*10%</f>
        <v>52300.000000000007</v>
      </c>
      <c r="H21" s="11">
        <f>'Ann 1'!$C$25*100000*10%</f>
        <v>52300.000000000007</v>
      </c>
      <c r="I21" s="11">
        <f>'Ann 1'!$C$25*100000*10%</f>
        <v>52300.000000000007</v>
      </c>
      <c r="J21" s="11">
        <f>'Ann 1'!$C$25*100000*10%</f>
        <v>52300.000000000007</v>
      </c>
      <c r="K21" s="11">
        <f>'Ann 1'!$C$25*100000*10%</f>
        <v>52300.000000000007</v>
      </c>
    </row>
    <row r="22" spans="1:11" x14ac:dyDescent="0.6">
      <c r="A22" s="12"/>
      <c r="B22" s="10" t="s">
        <v>8</v>
      </c>
      <c r="C22" s="11">
        <f>SUM(C20:C21)</f>
        <v>360824.61538461543</v>
      </c>
      <c r="D22" s="11">
        <f t="shared" ref="D22:K22" si="8">SUM(D20:D21)</f>
        <v>321884.61538461543</v>
      </c>
      <c r="E22" s="11">
        <f t="shared" si="8"/>
        <v>273958.46153846168</v>
      </c>
      <c r="F22" s="11">
        <f t="shared" si="8"/>
        <v>226032.30769230778</v>
      </c>
      <c r="G22" s="11">
        <f t="shared" si="8"/>
        <v>178106.15384615393</v>
      </c>
      <c r="H22" s="11">
        <f t="shared" si="8"/>
        <v>130180.00000000006</v>
      </c>
      <c r="I22" s="11">
        <f t="shared" si="8"/>
        <v>82253.846153846229</v>
      </c>
      <c r="J22" s="11">
        <f t="shared" si="8"/>
        <v>52300.000000000007</v>
      </c>
      <c r="K22" s="11">
        <f t="shared" si="8"/>
        <v>52300.000000000007</v>
      </c>
    </row>
    <row r="23" spans="1:11" x14ac:dyDescent="0.6">
      <c r="A23" s="12"/>
      <c r="B23" s="12"/>
      <c r="C23" s="11"/>
      <c r="D23" s="11"/>
      <c r="E23" s="11"/>
      <c r="F23" s="11"/>
      <c r="G23" s="11"/>
      <c r="H23" s="11"/>
      <c r="I23" s="11"/>
      <c r="J23" s="11"/>
      <c r="K23" s="11"/>
    </row>
    <row r="24" spans="1:11" x14ac:dyDescent="0.6">
      <c r="A24" s="12"/>
      <c r="B24" s="12" t="s">
        <v>102</v>
      </c>
      <c r="C24" s="11">
        <f t="shared" ref="C24:K24" si="9">C17-C22</f>
        <v>2154375.3846153845</v>
      </c>
      <c r="D24" s="11">
        <f t="shared" si="9"/>
        <v>2735641.1971153845</v>
      </c>
      <c r="E24" s="11">
        <f t="shared" si="9"/>
        <v>2954590.4734615381</v>
      </c>
      <c r="F24" s="11">
        <f t="shared" si="9"/>
        <v>3166706.7215076918</v>
      </c>
      <c r="G24" s="11">
        <f t="shared" si="9"/>
        <v>3371524.7542728456</v>
      </c>
      <c r="H24" s="11">
        <f t="shared" si="9"/>
        <v>3311353.4935623296</v>
      </c>
      <c r="I24" s="11">
        <f t="shared" si="9"/>
        <v>3243615.4138328461</v>
      </c>
      <c r="J24" s="11">
        <f t="shared" si="9"/>
        <v>3149808.5300607607</v>
      </c>
      <c r="K24" s="11">
        <f t="shared" si="9"/>
        <v>3017384.5490400139</v>
      </c>
    </row>
    <row r="25" spans="1:11" x14ac:dyDescent="0.6">
      <c r="A25" s="12"/>
      <c r="B25" s="12" t="s">
        <v>177</v>
      </c>
      <c r="C25" s="11">
        <f>'Ann 1'!C27*100000</f>
        <v>0</v>
      </c>
      <c r="D25" s="11">
        <v>0</v>
      </c>
      <c r="E25" s="11">
        <v>0</v>
      </c>
      <c r="F25" s="11">
        <v>0</v>
      </c>
      <c r="G25" s="11">
        <v>0</v>
      </c>
      <c r="H25" s="11">
        <v>0</v>
      </c>
      <c r="I25" s="11">
        <v>0</v>
      </c>
      <c r="J25" s="11">
        <v>0</v>
      </c>
      <c r="K25" s="11">
        <v>0</v>
      </c>
    </row>
    <row r="26" spans="1:11" x14ac:dyDescent="0.6">
      <c r="A26" s="12"/>
      <c r="B26" s="10" t="s">
        <v>103</v>
      </c>
      <c r="C26" s="11">
        <f>'Ann 9'!C12+'Ann 9'!D12+'Ann 9'!E12</f>
        <v>794050</v>
      </c>
      <c r="D26" s="11">
        <f>'Ann 9'!C13+'Ann 9'!D13+'Ann 9'!E13</f>
        <v>682942.5</v>
      </c>
      <c r="E26" s="11">
        <f>'Ann 9'!C14+'Ann 9'!D14+'Ann 9'!E14</f>
        <v>587701.125</v>
      </c>
      <c r="F26" s="11">
        <f>'Ann 9'!C15+'Ann 9'!D15+'Ann 9'!E15</f>
        <v>506025.95624999999</v>
      </c>
      <c r="G26" s="11">
        <f>'Ann 9'!C16+'Ann 9'!D16+'Ann 9'!E16</f>
        <v>435954.06281249999</v>
      </c>
      <c r="H26" s="11">
        <f>'Ann 9'!C17+'Ann 9'!D17+'Ann 9'!E17</f>
        <v>375809.75339062506</v>
      </c>
      <c r="I26" s="11">
        <f>'Ann 9'!C18+'Ann 9'!D18+'Ann 9'!E18</f>
        <v>324162.21038203128</v>
      </c>
      <c r="J26" s="11">
        <f>'Ann 9'!C19+'Ann 9'!D19+'Ann 9'!E19</f>
        <v>279789.40682472661</v>
      </c>
      <c r="K26" s="11">
        <f>'Ann 9'!C20+'Ann 9'!D20+'Ann 9'!E20</f>
        <v>241647.37100101763</v>
      </c>
    </row>
    <row r="27" spans="1:11" x14ac:dyDescent="0.6">
      <c r="A27" s="12"/>
      <c r="B27" s="10" t="s">
        <v>104</v>
      </c>
      <c r="C27" s="11">
        <f>C24-C25-C26</f>
        <v>1360325.3846153845</v>
      </c>
      <c r="D27" s="11">
        <f t="shared" ref="D27:K27" si="10">D24-D25-D26</f>
        <v>2052698.6971153845</v>
      </c>
      <c r="E27" s="11">
        <f t="shared" si="10"/>
        <v>2366889.3484615381</v>
      </c>
      <c r="F27" s="11">
        <f t="shared" si="10"/>
        <v>2660680.765257692</v>
      </c>
      <c r="G27" s="11">
        <f t="shared" si="10"/>
        <v>2935570.6914603454</v>
      </c>
      <c r="H27" s="11">
        <f t="shared" si="10"/>
        <v>2935543.7401717044</v>
      </c>
      <c r="I27" s="11">
        <f t="shared" si="10"/>
        <v>2919453.2034508148</v>
      </c>
      <c r="J27" s="11">
        <f t="shared" si="10"/>
        <v>2870019.1232360341</v>
      </c>
      <c r="K27" s="11">
        <f t="shared" si="10"/>
        <v>2775737.1780389962</v>
      </c>
    </row>
    <row r="28" spans="1:11" x14ac:dyDescent="0.6">
      <c r="A28" s="12"/>
      <c r="B28" s="10" t="s">
        <v>105</v>
      </c>
      <c r="C28" s="11">
        <f>'Ann 10'!B14</f>
        <v>408097.61538461532</v>
      </c>
      <c r="D28" s="11">
        <f>'Ann 10'!C14</f>
        <v>615809.60913461528</v>
      </c>
      <c r="E28" s="11">
        <f>'Ann 10'!D14</f>
        <v>710066.80453846138</v>
      </c>
      <c r="F28" s="11">
        <f>'Ann 10'!E14</f>
        <v>798204.22957730759</v>
      </c>
      <c r="G28" s="11">
        <f>'Ann 10'!F14</f>
        <v>880671.20743810362</v>
      </c>
      <c r="H28" s="11">
        <f>'Ann 10'!G14</f>
        <v>880663.12205151131</v>
      </c>
      <c r="I28" s="11">
        <f>'Ann 10'!H14</f>
        <v>875835.9610352444</v>
      </c>
      <c r="J28" s="11">
        <f>'Ann 10'!I14</f>
        <v>861005.73697081022</v>
      </c>
      <c r="K28" s="11">
        <f>'Ann 10'!J14</f>
        <v>832721.15341169888</v>
      </c>
    </row>
    <row r="29" spans="1:11" x14ac:dyDescent="0.6">
      <c r="A29" s="12"/>
      <c r="B29" s="10" t="s">
        <v>106</v>
      </c>
      <c r="C29" s="11">
        <f>C27-C28</f>
        <v>952227.76923076925</v>
      </c>
      <c r="D29" s="11">
        <f>D27-D28</f>
        <v>1436889.0879807691</v>
      </c>
      <c r="E29" s="11">
        <f t="shared" ref="E29:K29" si="11">E27-E28</f>
        <v>1656822.5439230767</v>
      </c>
      <c r="F29" s="11">
        <f t="shared" si="11"/>
        <v>1862476.5356803844</v>
      </c>
      <c r="G29" s="11">
        <f t="shared" si="11"/>
        <v>2054899.4840222418</v>
      </c>
      <c r="H29" s="11">
        <f t="shared" si="11"/>
        <v>2054880.618120193</v>
      </c>
      <c r="I29" s="11">
        <f t="shared" si="11"/>
        <v>2043617.2424155704</v>
      </c>
      <c r="J29" s="11">
        <f t="shared" si="11"/>
        <v>2009013.3862652238</v>
      </c>
      <c r="K29" s="11">
        <f t="shared" si="11"/>
        <v>1943016.0246272972</v>
      </c>
    </row>
    <row r="30" spans="1:11" x14ac:dyDescent="0.6">
      <c r="A30" s="12"/>
      <c r="B30" s="10" t="s">
        <v>309</v>
      </c>
      <c r="C30" s="11">
        <f>C29*80%</f>
        <v>761782.21538461547</v>
      </c>
      <c r="D30" s="11">
        <f t="shared" ref="D30:K30" si="12">D29*80%</f>
        <v>1149511.2703846153</v>
      </c>
      <c r="E30" s="11">
        <f t="shared" si="12"/>
        <v>1325458.0351384615</v>
      </c>
      <c r="F30" s="11">
        <f t="shared" si="12"/>
        <v>1489981.2285443076</v>
      </c>
      <c r="G30" s="11">
        <f t="shared" si="12"/>
        <v>1643919.5872177936</v>
      </c>
      <c r="H30" s="11">
        <f t="shared" si="12"/>
        <v>1643904.4944961546</v>
      </c>
      <c r="I30" s="11">
        <f t="shared" si="12"/>
        <v>1634893.7939324565</v>
      </c>
      <c r="J30" s="11">
        <f t="shared" si="12"/>
        <v>1607210.7090121792</v>
      </c>
      <c r="K30" s="11">
        <f t="shared" si="12"/>
        <v>1554412.8197018378</v>
      </c>
    </row>
    <row r="31" spans="1:11" x14ac:dyDescent="0.6">
      <c r="A31" s="12"/>
      <c r="B31" s="10" t="s">
        <v>116</v>
      </c>
      <c r="C31" s="11">
        <f>C29-C30</f>
        <v>190445.55384615378</v>
      </c>
      <c r="D31" s="11">
        <f t="shared" ref="D31:K31" si="13">D29-D30</f>
        <v>287377.81759615382</v>
      </c>
      <c r="E31" s="11">
        <f t="shared" si="13"/>
        <v>331364.5087846152</v>
      </c>
      <c r="F31" s="11">
        <f t="shared" si="13"/>
        <v>372495.30713607674</v>
      </c>
      <c r="G31" s="11">
        <f t="shared" si="13"/>
        <v>410979.89680444822</v>
      </c>
      <c r="H31" s="11">
        <f t="shared" si="13"/>
        <v>410976.12362403842</v>
      </c>
      <c r="I31" s="11">
        <f t="shared" si="13"/>
        <v>408723.4484831139</v>
      </c>
      <c r="J31" s="11">
        <f t="shared" si="13"/>
        <v>401802.67725304468</v>
      </c>
      <c r="K31" s="11">
        <f t="shared" si="13"/>
        <v>388603.20492545934</v>
      </c>
    </row>
    <row r="33" spans="1:11" x14ac:dyDescent="0.6">
      <c r="A33" s="8" t="s">
        <v>304</v>
      </c>
    </row>
    <row r="34" spans="1:11" x14ac:dyDescent="0.6">
      <c r="A34" s="8" t="s">
        <v>172</v>
      </c>
    </row>
    <row r="35" spans="1:11" x14ac:dyDescent="0.6">
      <c r="B35" s="8" t="s">
        <v>171</v>
      </c>
      <c r="C35" s="8">
        <v>25000</v>
      </c>
      <c r="D35" s="8">
        <f>C35*1.05</f>
        <v>26250</v>
      </c>
      <c r="E35" s="8">
        <f t="shared" ref="E35:G35" si="14">D35*1.05</f>
        <v>27562.5</v>
      </c>
      <c r="F35" s="8">
        <f t="shared" si="14"/>
        <v>28940.625</v>
      </c>
      <c r="G35" s="8">
        <f t="shared" si="14"/>
        <v>30387.65625</v>
      </c>
      <c r="H35" s="8">
        <f>G35</f>
        <v>30387.65625</v>
      </c>
      <c r="I35" s="8">
        <f t="shared" ref="I35:K35" si="15">H35</f>
        <v>30387.65625</v>
      </c>
      <c r="J35" s="8">
        <f t="shared" si="15"/>
        <v>30387.65625</v>
      </c>
      <c r="K35" s="8">
        <f t="shared" si="15"/>
        <v>30387.65625</v>
      </c>
    </row>
    <row r="36" spans="1:11" x14ac:dyDescent="0.6">
      <c r="B36" s="8" t="s">
        <v>73</v>
      </c>
      <c r="C36" s="8">
        <f>C35*10</f>
        <v>250000</v>
      </c>
      <c r="D36" s="8">
        <f t="shared" ref="D36:K36" si="16">D35*10</f>
        <v>262500</v>
      </c>
      <c r="E36" s="8">
        <f t="shared" si="16"/>
        <v>275625</v>
      </c>
      <c r="F36" s="8">
        <f t="shared" si="16"/>
        <v>289406.25</v>
      </c>
      <c r="G36" s="8">
        <f t="shared" si="16"/>
        <v>303876.5625</v>
      </c>
      <c r="H36" s="8">
        <f t="shared" si="16"/>
        <v>303876.5625</v>
      </c>
      <c r="I36" s="8">
        <f t="shared" si="16"/>
        <v>303876.5625</v>
      </c>
      <c r="J36" s="8">
        <f t="shared" si="16"/>
        <v>303876.5625</v>
      </c>
      <c r="K36" s="8">
        <f t="shared" si="16"/>
        <v>303876.5625</v>
      </c>
    </row>
  </sheetData>
  <mergeCells count="3">
    <mergeCell ref="C3:K3"/>
    <mergeCell ref="B3:B4"/>
    <mergeCell ref="A3:A4"/>
  </mergeCells>
  <pageMargins left="0.7" right="0.7" top="0.75" bottom="0.75" header="0.3" footer="0.3"/>
  <pageSetup scale="59" fitToHeight="0" orientation="landscape" r:id="rId1"/>
  <ignoredErrors>
    <ignoredError sqref="D2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3"/>
  <sheetViews>
    <sheetView topLeftCell="A33" workbookViewId="0">
      <selection activeCell="F50" sqref="F50"/>
    </sheetView>
  </sheetViews>
  <sheetFormatPr defaultRowHeight="17" x14ac:dyDescent="0.6"/>
  <cols>
    <col min="1" max="1" width="8.7265625" style="8"/>
    <col min="2" max="2" width="28.26953125" style="8" customWidth="1"/>
    <col min="3" max="3" width="15.6328125" style="8" bestFit="1" customWidth="1"/>
    <col min="4" max="10" width="13.7265625" style="8" bestFit="1" customWidth="1"/>
    <col min="11" max="11" width="13.6328125" style="8" bestFit="1" customWidth="1"/>
    <col min="12" max="12" width="10" style="8" bestFit="1" customWidth="1"/>
    <col min="13" max="16384" width="8.7265625" style="8"/>
  </cols>
  <sheetData>
    <row r="1" spans="1:11" x14ac:dyDescent="0.6">
      <c r="A1" s="7" t="s">
        <v>117</v>
      </c>
    </row>
    <row r="3" spans="1:11" x14ac:dyDescent="0.6">
      <c r="A3" s="8" t="s">
        <v>307</v>
      </c>
    </row>
    <row r="5" spans="1:11" x14ac:dyDescent="0.6">
      <c r="A5" s="130" t="s">
        <v>37</v>
      </c>
      <c r="B5" s="130" t="s">
        <v>38</v>
      </c>
      <c r="C5" s="131" t="s">
        <v>48</v>
      </c>
      <c r="D5" s="131"/>
      <c r="E5" s="131"/>
      <c r="F5" s="131"/>
      <c r="G5" s="131"/>
      <c r="H5" s="131"/>
      <c r="I5" s="131"/>
      <c r="J5" s="131"/>
      <c r="K5" s="131"/>
    </row>
    <row r="6" spans="1:11" x14ac:dyDescent="0.6">
      <c r="A6" s="130"/>
      <c r="B6" s="130"/>
      <c r="C6" s="68" t="s">
        <v>39</v>
      </c>
      <c r="D6" s="68" t="s">
        <v>40</v>
      </c>
      <c r="E6" s="68" t="s">
        <v>41</v>
      </c>
      <c r="F6" s="68" t="s">
        <v>42</v>
      </c>
      <c r="G6" s="68" t="s">
        <v>43</v>
      </c>
      <c r="H6" s="68" t="s">
        <v>44</v>
      </c>
      <c r="I6" s="68" t="s">
        <v>45</v>
      </c>
      <c r="J6" s="68" t="s">
        <v>46</v>
      </c>
      <c r="K6" s="68" t="s">
        <v>47</v>
      </c>
    </row>
    <row r="7" spans="1:11" x14ac:dyDescent="0.6">
      <c r="A7" s="14" t="s">
        <v>149</v>
      </c>
      <c r="B7" s="70" t="s">
        <v>118</v>
      </c>
      <c r="C7" s="71"/>
      <c r="D7" s="71"/>
      <c r="E7" s="16"/>
      <c r="F7" s="16"/>
      <c r="G7" s="16"/>
      <c r="H7" s="16"/>
      <c r="I7" s="16"/>
      <c r="J7" s="16"/>
      <c r="K7" s="16"/>
    </row>
    <row r="8" spans="1:11" x14ac:dyDescent="0.6">
      <c r="A8" s="47">
        <v>1</v>
      </c>
      <c r="B8" s="48" t="s">
        <v>119</v>
      </c>
      <c r="C8" s="30"/>
      <c r="D8" s="30"/>
      <c r="E8" s="31"/>
      <c r="F8" s="31"/>
      <c r="G8" s="31"/>
      <c r="H8" s="31"/>
      <c r="I8" s="31"/>
      <c r="J8" s="31"/>
      <c r="K8" s="31"/>
    </row>
    <row r="9" spans="1:11" x14ac:dyDescent="0.6">
      <c r="A9" s="47"/>
      <c r="B9" s="48" t="s">
        <v>120</v>
      </c>
      <c r="C9" s="72">
        <f>'Ann 9'!C6+'Ann 9'!D6+'Ann 9'!E6</f>
        <v>5827000</v>
      </c>
      <c r="D9" s="73">
        <f>C11</f>
        <v>5032950</v>
      </c>
      <c r="E9" s="34">
        <f t="shared" ref="E9:K9" si="0">D11</f>
        <v>4350007.5</v>
      </c>
      <c r="F9" s="34">
        <f t="shared" si="0"/>
        <v>3762306.375</v>
      </c>
      <c r="G9" s="34">
        <f t="shared" si="0"/>
        <v>3256280.4187500002</v>
      </c>
      <c r="H9" s="34">
        <f t="shared" si="0"/>
        <v>2820326.3559375</v>
      </c>
      <c r="I9" s="34">
        <f t="shared" si="0"/>
        <v>2444516.6025468749</v>
      </c>
      <c r="J9" s="34">
        <f t="shared" si="0"/>
        <v>2120354.3921648436</v>
      </c>
      <c r="K9" s="34">
        <f t="shared" si="0"/>
        <v>1840564.985340117</v>
      </c>
    </row>
    <row r="10" spans="1:11" x14ac:dyDescent="0.6">
      <c r="A10" s="47"/>
      <c r="B10" s="48" t="s">
        <v>121</v>
      </c>
      <c r="C10" s="72">
        <f>'Ann 9'!C12+'Ann 9'!D12+'Ann 9'!E12</f>
        <v>794050</v>
      </c>
      <c r="D10" s="73">
        <f>'Ann 9'!C13+'Ann 9'!D13+'Ann 9'!E13</f>
        <v>682942.5</v>
      </c>
      <c r="E10" s="34">
        <f>'Ann 9'!C14+'Ann 9'!D14+'Ann 9'!E14</f>
        <v>587701.125</v>
      </c>
      <c r="F10" s="34">
        <f>'Ann 9'!C15+'Ann 9'!D15+'Ann 9'!E15</f>
        <v>506025.95624999999</v>
      </c>
      <c r="G10" s="34">
        <f>'Ann 9'!C16+'Ann 9'!D16+'Ann 9'!E16</f>
        <v>435954.06281249999</v>
      </c>
      <c r="H10" s="34">
        <f>'Ann 9'!C17+'Ann 9'!D17+'Ann 9'!E17</f>
        <v>375809.75339062506</v>
      </c>
      <c r="I10" s="34">
        <f>+'Ann 9'!C18+'Ann 9'!D18+'Ann 9'!E18</f>
        <v>324162.21038203128</v>
      </c>
      <c r="J10" s="34">
        <f>'Ann 9'!C19+'Ann 9'!D19+'Ann 9'!E19</f>
        <v>279789.40682472661</v>
      </c>
      <c r="K10" s="34">
        <f>+'Ann 9'!C20+'Ann 9'!D20+'Ann 9'!E20</f>
        <v>241647.37100101763</v>
      </c>
    </row>
    <row r="11" spans="1:11" x14ac:dyDescent="0.6">
      <c r="A11" s="47"/>
      <c r="B11" s="48" t="s">
        <v>122</v>
      </c>
      <c r="C11" s="72">
        <f>C9-C10</f>
        <v>5032950</v>
      </c>
      <c r="D11" s="73">
        <f>D9-D10</f>
        <v>4350007.5</v>
      </c>
      <c r="E11" s="34">
        <f t="shared" ref="E11:K11" si="1">E9-E10</f>
        <v>3762306.375</v>
      </c>
      <c r="F11" s="34">
        <f t="shared" si="1"/>
        <v>3256280.4187500002</v>
      </c>
      <c r="G11" s="34">
        <f t="shared" si="1"/>
        <v>2820326.3559375</v>
      </c>
      <c r="H11" s="34">
        <f t="shared" si="1"/>
        <v>2444516.6025468749</v>
      </c>
      <c r="I11" s="34">
        <f t="shared" si="1"/>
        <v>2120354.3921648436</v>
      </c>
      <c r="J11" s="34">
        <f t="shared" si="1"/>
        <v>1840564.985340117</v>
      </c>
      <c r="K11" s="34">
        <f t="shared" si="1"/>
        <v>1598917.6143390993</v>
      </c>
    </row>
    <row r="12" spans="1:11" x14ac:dyDescent="0.6">
      <c r="A12" s="47">
        <v>2</v>
      </c>
      <c r="B12" s="48" t="s">
        <v>123</v>
      </c>
      <c r="C12" s="72">
        <f>'Ann 4'!C16*30/330</f>
        <v>726054.54545454541</v>
      </c>
      <c r="D12" s="72">
        <f>'Ann 4'!D16*30/330</f>
        <v>841925.96590909094</v>
      </c>
      <c r="E12" s="72">
        <f>'Ann 4'!E16*30/330</f>
        <v>891451.02272727271</v>
      </c>
      <c r="F12" s="72">
        <f>'Ann 4'!F16*30/330</f>
        <v>940976.07954545459</v>
      </c>
      <c r="G12" s="72">
        <f>'Ann 4'!G16*30/330</f>
        <v>990501.13636363635</v>
      </c>
      <c r="H12" s="72">
        <f>'Ann 4'!H16*30/330</f>
        <v>990501.13636363635</v>
      </c>
      <c r="I12" s="72">
        <f>'Ann 4'!I16*30/330</f>
        <v>990501.13636363635</v>
      </c>
      <c r="J12" s="72">
        <f>'Ann 4'!J16*30/330</f>
        <v>990501.13636363635</v>
      </c>
      <c r="K12" s="72">
        <f>'Ann 4'!K16*30/330</f>
        <v>990501.13636363635</v>
      </c>
    </row>
    <row r="13" spans="1:11" x14ac:dyDescent="0.6">
      <c r="A13" s="47">
        <v>3</v>
      </c>
      <c r="B13" s="48" t="s">
        <v>124</v>
      </c>
      <c r="C13" s="74">
        <f>'Ann 14'!C20</f>
        <v>1322310.9384615379</v>
      </c>
      <c r="D13" s="74">
        <f>'Ann 14'!D20</f>
        <v>1508856.0252884605</v>
      </c>
      <c r="E13" s="74">
        <f>'Ann 14'!E20</f>
        <v>1645196.0083038437</v>
      </c>
      <c r="F13" s="74">
        <f>'Ann 14'!F20</f>
        <v>1742114.6715206888</v>
      </c>
      <c r="G13" s="74">
        <f>'Ann 14'!G20</f>
        <v>1808647.695110407</v>
      </c>
      <c r="H13" s="74">
        <f>'Ann 14'!H20</f>
        <v>1816318.4167297801</v>
      </c>
      <c r="I13" s="74">
        <f>'Ann 14'!I20</f>
        <v>1771464.70547581</v>
      </c>
      <c r="J13" s="74">
        <f>'Ann 14'!J20</f>
        <v>2475558.7404492055</v>
      </c>
      <c r="K13" s="74">
        <f>'Ann 14'!K20</f>
        <v>3129886.4038339998</v>
      </c>
    </row>
    <row r="14" spans="1:11" x14ac:dyDescent="0.6">
      <c r="A14" s="47"/>
      <c r="B14" s="48" t="s">
        <v>131</v>
      </c>
      <c r="C14" s="72">
        <f t="shared" ref="C14:K14" si="2">SUM(C11:C13)</f>
        <v>7081315.4839160834</v>
      </c>
      <c r="D14" s="72">
        <f t="shared" si="2"/>
        <v>6700789.4911975516</v>
      </c>
      <c r="E14" s="75">
        <f t="shared" si="2"/>
        <v>6298953.4060311159</v>
      </c>
      <c r="F14" s="75">
        <f t="shared" si="2"/>
        <v>5939371.1698161429</v>
      </c>
      <c r="G14" s="75">
        <f t="shared" si="2"/>
        <v>5619475.187411543</v>
      </c>
      <c r="H14" s="75">
        <f t="shared" si="2"/>
        <v>5251336.1556402911</v>
      </c>
      <c r="I14" s="75">
        <f t="shared" si="2"/>
        <v>4882320.2340042898</v>
      </c>
      <c r="J14" s="75">
        <f t="shared" si="2"/>
        <v>5306624.8621529583</v>
      </c>
      <c r="K14" s="75">
        <f t="shared" si="2"/>
        <v>5719305.1545367353</v>
      </c>
    </row>
    <row r="15" spans="1:11" x14ac:dyDescent="0.6">
      <c r="A15" s="47"/>
      <c r="B15" s="48"/>
      <c r="C15" s="72"/>
      <c r="D15" s="72"/>
      <c r="E15" s="75"/>
      <c r="F15" s="75"/>
      <c r="G15" s="75"/>
      <c r="H15" s="75"/>
      <c r="I15" s="75"/>
      <c r="J15" s="75"/>
      <c r="K15" s="75"/>
    </row>
    <row r="16" spans="1:11" x14ac:dyDescent="0.6">
      <c r="A16" s="47" t="s">
        <v>150</v>
      </c>
      <c r="B16" s="76" t="s">
        <v>125</v>
      </c>
      <c r="C16" s="30"/>
      <c r="D16" s="30"/>
      <c r="E16" s="31"/>
      <c r="F16" s="31"/>
      <c r="G16" s="31"/>
      <c r="H16" s="31"/>
      <c r="I16" s="31"/>
      <c r="J16" s="31"/>
      <c r="K16" s="31"/>
    </row>
    <row r="17" spans="1:13" x14ac:dyDescent="0.6">
      <c r="A17" s="47">
        <v>1</v>
      </c>
      <c r="B17" s="48" t="s">
        <v>126</v>
      </c>
      <c r="C17" s="74">
        <f>'Ann 2'!C4*100000</f>
        <v>635000</v>
      </c>
      <c r="D17" s="74">
        <f>C20</f>
        <v>825445.55384615378</v>
      </c>
      <c r="E17" s="77">
        <f t="shared" ref="E17:K17" si="3">D20</f>
        <v>1112823.3714423077</v>
      </c>
      <c r="F17" s="77">
        <f t="shared" si="3"/>
        <v>1444187.8802269229</v>
      </c>
      <c r="G17" s="77">
        <f t="shared" si="3"/>
        <v>1816683.1873629997</v>
      </c>
      <c r="H17" s="77">
        <f t="shared" si="3"/>
        <v>2227663.0841674479</v>
      </c>
      <c r="I17" s="77">
        <f t="shared" si="3"/>
        <v>2638639.2077914863</v>
      </c>
      <c r="J17" s="77">
        <f t="shared" si="3"/>
        <v>3047362.6562746</v>
      </c>
      <c r="K17" s="77">
        <f t="shared" si="3"/>
        <v>3449165.3335276446</v>
      </c>
    </row>
    <row r="18" spans="1:13" x14ac:dyDescent="0.6">
      <c r="A18" s="47"/>
      <c r="B18" s="48" t="s">
        <v>127</v>
      </c>
      <c r="C18" s="74">
        <f>'Ann 4'!C31</f>
        <v>190445.55384615378</v>
      </c>
      <c r="D18" s="74">
        <f>'Ann 4'!D31</f>
        <v>287377.81759615382</v>
      </c>
      <c r="E18" s="77">
        <f>'Ann 4'!E31</f>
        <v>331364.5087846152</v>
      </c>
      <c r="F18" s="77">
        <f>'Ann 4'!F31</f>
        <v>372495.30713607674</v>
      </c>
      <c r="G18" s="77">
        <f>'Ann 4'!G31</f>
        <v>410979.89680444822</v>
      </c>
      <c r="H18" s="77">
        <f>'Ann 4'!H31</f>
        <v>410976.12362403842</v>
      </c>
      <c r="I18" s="77">
        <f>'Ann 4'!I31</f>
        <v>408723.4484831139</v>
      </c>
      <c r="J18" s="77">
        <f>'Ann 4'!J31</f>
        <v>401802.67725304468</v>
      </c>
      <c r="K18" s="77">
        <f>'Ann 4'!K31</f>
        <v>388603.20492545934</v>
      </c>
    </row>
    <row r="19" spans="1:13" x14ac:dyDescent="0.6">
      <c r="A19" s="47"/>
      <c r="B19" s="48" t="s">
        <v>128</v>
      </c>
      <c r="C19" s="74">
        <v>0</v>
      </c>
      <c r="D19" s="74">
        <v>0</v>
      </c>
      <c r="E19" s="77">
        <v>0</v>
      </c>
      <c r="F19" s="77">
        <v>0</v>
      </c>
      <c r="G19" s="77">
        <v>0</v>
      </c>
      <c r="H19" s="77">
        <v>0</v>
      </c>
      <c r="I19" s="77">
        <v>0</v>
      </c>
      <c r="J19" s="77">
        <v>0</v>
      </c>
      <c r="K19" s="77">
        <v>0</v>
      </c>
    </row>
    <row r="20" spans="1:13" x14ac:dyDescent="0.6">
      <c r="A20" s="47"/>
      <c r="B20" s="48" t="s">
        <v>129</v>
      </c>
      <c r="C20" s="74">
        <f>C17+C18</f>
        <v>825445.55384615378</v>
      </c>
      <c r="D20" s="74">
        <f t="shared" ref="D20:K20" si="4">D17+D18</f>
        <v>1112823.3714423077</v>
      </c>
      <c r="E20" s="77">
        <f t="shared" si="4"/>
        <v>1444187.8802269229</v>
      </c>
      <c r="F20" s="77">
        <f t="shared" si="4"/>
        <v>1816683.1873629997</v>
      </c>
      <c r="G20" s="77">
        <f t="shared" si="4"/>
        <v>2227663.0841674479</v>
      </c>
      <c r="H20" s="77">
        <f t="shared" si="4"/>
        <v>2638639.2077914863</v>
      </c>
      <c r="I20" s="77">
        <f t="shared" si="4"/>
        <v>3047362.6562746</v>
      </c>
      <c r="J20" s="77">
        <f t="shared" si="4"/>
        <v>3449165.3335276446</v>
      </c>
      <c r="K20" s="77">
        <f t="shared" si="4"/>
        <v>3837768.538453104</v>
      </c>
    </row>
    <row r="21" spans="1:13" x14ac:dyDescent="0.6">
      <c r="A21" s="47">
        <v>2</v>
      </c>
      <c r="B21" s="48" t="s">
        <v>28</v>
      </c>
      <c r="C21" s="74">
        <f>'Ann 13'!C13*100000</f>
        <v>4792615.384615385</v>
      </c>
      <c r="D21" s="74">
        <f>'Ann 13'!C17*100000</f>
        <v>3993846.1538461554</v>
      </c>
      <c r="E21" s="74">
        <f>'Ann 13'!C21*100000</f>
        <v>3195076.9230769249</v>
      </c>
      <c r="F21" s="74">
        <f>'Ann 13'!C25*100000</f>
        <v>2396307.6923076939</v>
      </c>
      <c r="G21" s="77">
        <f>('Ann 13'!C28-'Ann 13'!D28)*100000</f>
        <v>1597538.4615384624</v>
      </c>
      <c r="H21" s="77">
        <f>('Ann 13'!C32-'Ann 13'!D32)*100000</f>
        <v>798769.23076923192</v>
      </c>
      <c r="I21" s="77">
        <v>0</v>
      </c>
      <c r="J21" s="77">
        <v>0</v>
      </c>
      <c r="K21" s="77">
        <v>0</v>
      </c>
    </row>
    <row r="22" spans="1:13" x14ac:dyDescent="0.6">
      <c r="A22" s="47">
        <v>3</v>
      </c>
      <c r="B22" s="78" t="s">
        <v>163</v>
      </c>
      <c r="C22" s="74">
        <f>'Ann 2'!$C$7*100000</f>
        <v>523000.00000000006</v>
      </c>
      <c r="D22" s="74">
        <f>'Ann 2'!$C$7*100000</f>
        <v>523000.00000000006</v>
      </c>
      <c r="E22" s="74">
        <f>'Ann 2'!$C$7*100000</f>
        <v>523000.00000000006</v>
      </c>
      <c r="F22" s="74">
        <f>'Ann 2'!$C$7*100000</f>
        <v>523000.00000000006</v>
      </c>
      <c r="G22" s="74">
        <f>'Ann 2'!$C$7*100000</f>
        <v>523000.00000000006</v>
      </c>
      <c r="H22" s="74">
        <f>'Ann 2'!$C$7*100000</f>
        <v>523000.00000000006</v>
      </c>
      <c r="I22" s="74">
        <f>'Ann 2'!$C$7*100000</f>
        <v>523000.00000000006</v>
      </c>
      <c r="J22" s="74">
        <f>'Ann 2'!$C$7*100000</f>
        <v>523000.00000000006</v>
      </c>
      <c r="K22" s="74">
        <f>'Ann 2'!$C$7*100000</f>
        <v>523000.00000000006</v>
      </c>
    </row>
    <row r="23" spans="1:13" x14ac:dyDescent="0.6">
      <c r="A23" s="47">
        <v>4</v>
      </c>
      <c r="B23" s="78" t="s">
        <v>158</v>
      </c>
      <c r="C23" s="74">
        <f>('Ann 4'!C8+'Ann 4'!C12)*60/330</f>
        <v>940254.54545454541</v>
      </c>
      <c r="D23" s="74">
        <f>('Ann 4'!D8+'Ann 4'!D12)*60/330</f>
        <v>1071119.9659090908</v>
      </c>
      <c r="E23" s="74">
        <f>('Ann 4'!E8+'Ann 4'!E12)*60/330</f>
        <v>1136688.6027272728</v>
      </c>
      <c r="F23" s="74">
        <f>('Ann 4'!F8+'Ann 4'!F12)*60/330</f>
        <v>1203380.2901454547</v>
      </c>
      <c r="G23" s="74">
        <f>('Ann 4'!G8+'Ann 4'!G12)*60/330</f>
        <v>1271273.6417056364</v>
      </c>
      <c r="H23" s="74">
        <f>('Ann 4'!H8+'Ann 4'!H12)*60/330</f>
        <v>1290927.7170795763</v>
      </c>
      <c r="I23" s="74">
        <f>('Ann 4'!I8+'Ann 4'!I12)*60/330</f>
        <v>1311957.5777296924</v>
      </c>
      <c r="J23" s="74">
        <f>('Ann 4'!J8+'Ann 4'!J12)*60/330</f>
        <v>1334459.5286253162</v>
      </c>
      <c r="K23" s="74">
        <f>('Ann 4'!K8+'Ann 4'!K12)*60/330</f>
        <v>1358536.6160836339</v>
      </c>
    </row>
    <row r="24" spans="1:13" x14ac:dyDescent="0.6">
      <c r="A24" s="47"/>
      <c r="B24" s="48" t="s">
        <v>130</v>
      </c>
      <c r="C24" s="72">
        <f t="shared" ref="C24:K24" si="5">SUM(C20:C23)</f>
        <v>7081315.4839160834</v>
      </c>
      <c r="D24" s="72">
        <f t="shared" si="5"/>
        <v>6700789.4911975535</v>
      </c>
      <c r="E24" s="72">
        <f t="shared" si="5"/>
        <v>6298953.4060311206</v>
      </c>
      <c r="F24" s="72">
        <f t="shared" si="5"/>
        <v>5939371.1698161485</v>
      </c>
      <c r="G24" s="72">
        <f t="shared" si="5"/>
        <v>5619475.1874115467</v>
      </c>
      <c r="H24" s="72">
        <f t="shared" si="5"/>
        <v>5251336.1556402948</v>
      </c>
      <c r="I24" s="72">
        <f t="shared" si="5"/>
        <v>4882320.2340042926</v>
      </c>
      <c r="J24" s="72">
        <f t="shared" si="5"/>
        <v>5306624.8621529611</v>
      </c>
      <c r="K24" s="72">
        <f t="shared" si="5"/>
        <v>5719305.1545367381</v>
      </c>
    </row>
    <row r="25" spans="1:13" x14ac:dyDescent="0.6">
      <c r="A25" s="47"/>
      <c r="B25" s="48"/>
      <c r="C25" s="72"/>
      <c r="D25" s="72"/>
      <c r="E25" s="72"/>
      <c r="F25" s="72"/>
      <c r="G25" s="72"/>
      <c r="H25" s="72"/>
      <c r="I25" s="72"/>
      <c r="J25" s="72"/>
      <c r="K25" s="72"/>
      <c r="L25" s="79"/>
      <c r="M25" s="48"/>
    </row>
    <row r="26" spans="1:13" x14ac:dyDescent="0.6">
      <c r="A26" s="80"/>
      <c r="B26" s="81" t="s">
        <v>132</v>
      </c>
      <c r="C26" s="82"/>
      <c r="D26" s="82"/>
      <c r="E26" s="83"/>
      <c r="F26" s="83"/>
      <c r="G26" s="83"/>
      <c r="H26" s="83"/>
      <c r="I26" s="83"/>
      <c r="J26" s="83"/>
      <c r="K26" s="83"/>
    </row>
    <row r="27" spans="1:13" x14ac:dyDescent="0.6">
      <c r="A27" s="47"/>
      <c r="B27" s="48" t="s">
        <v>133</v>
      </c>
      <c r="C27" s="72">
        <f t="shared" ref="C27:K27" si="6">SUM(C12:C13)</f>
        <v>2048365.4839160834</v>
      </c>
      <c r="D27" s="72">
        <f t="shared" si="6"/>
        <v>2350781.9911975516</v>
      </c>
      <c r="E27" s="75">
        <f t="shared" si="6"/>
        <v>2536647.0310311164</v>
      </c>
      <c r="F27" s="75">
        <f t="shared" si="6"/>
        <v>2683090.7510661436</v>
      </c>
      <c r="G27" s="75">
        <f t="shared" si="6"/>
        <v>2799148.8314740434</v>
      </c>
      <c r="H27" s="75">
        <f t="shared" si="6"/>
        <v>2806819.5530934166</v>
      </c>
      <c r="I27" s="75">
        <f t="shared" si="6"/>
        <v>2761965.8418394462</v>
      </c>
      <c r="J27" s="75">
        <f t="shared" si="6"/>
        <v>3466059.8768128417</v>
      </c>
      <c r="K27" s="75">
        <f t="shared" si="6"/>
        <v>4120387.540197636</v>
      </c>
    </row>
    <row r="28" spans="1:13" x14ac:dyDescent="0.6">
      <c r="A28" s="47"/>
      <c r="B28" s="48" t="s">
        <v>134</v>
      </c>
      <c r="C28" s="72">
        <f>C23</f>
        <v>940254.54545454541</v>
      </c>
      <c r="D28" s="72">
        <f t="shared" ref="D28:K28" si="7">D23</f>
        <v>1071119.9659090908</v>
      </c>
      <c r="E28" s="72">
        <f t="shared" si="7"/>
        <v>1136688.6027272728</v>
      </c>
      <c r="F28" s="72">
        <f t="shared" si="7"/>
        <v>1203380.2901454547</v>
      </c>
      <c r="G28" s="72">
        <f t="shared" si="7"/>
        <v>1271273.6417056364</v>
      </c>
      <c r="H28" s="72">
        <f t="shared" si="7"/>
        <v>1290927.7170795763</v>
      </c>
      <c r="I28" s="72">
        <f t="shared" si="7"/>
        <v>1311957.5777296924</v>
      </c>
      <c r="J28" s="72">
        <f t="shared" si="7"/>
        <v>1334459.5286253162</v>
      </c>
      <c r="K28" s="72">
        <f t="shared" si="7"/>
        <v>1358536.6160836339</v>
      </c>
    </row>
    <row r="29" spans="1:13" x14ac:dyDescent="0.6">
      <c r="A29" s="47"/>
      <c r="B29" s="48" t="s">
        <v>139</v>
      </c>
      <c r="C29" s="30">
        <f>C27/C28</f>
        <v>2.1785222882659356</v>
      </c>
      <c r="D29" s="30">
        <f>D27/D28</f>
        <v>2.1946953338717519</v>
      </c>
      <c r="E29" s="31">
        <f t="shared" ref="E29:K29" si="8">E27/E28</f>
        <v>2.2316112125562833</v>
      </c>
      <c r="F29" s="31">
        <f t="shared" si="8"/>
        <v>2.229628300411862</v>
      </c>
      <c r="G29" s="31">
        <f t="shared" si="8"/>
        <v>2.2018460382129019</v>
      </c>
      <c r="H29" s="31">
        <f t="shared" si="8"/>
        <v>2.1742654650278892</v>
      </c>
      <c r="I29" s="31">
        <f t="shared" si="8"/>
        <v>2.1052249620898218</v>
      </c>
      <c r="J29" s="31">
        <f t="shared" si="8"/>
        <v>2.5973510642045308</v>
      </c>
      <c r="K29" s="31">
        <f t="shared" si="8"/>
        <v>3.0329602392873434</v>
      </c>
    </row>
    <row r="30" spans="1:13" x14ac:dyDescent="0.6">
      <c r="A30" s="47"/>
      <c r="B30" s="78" t="s">
        <v>151</v>
      </c>
      <c r="C30" s="30"/>
      <c r="D30" s="30"/>
      <c r="E30" s="31"/>
      <c r="F30" s="31">
        <f>AVERAGE(C29:K29)</f>
        <v>2.3273449893253693</v>
      </c>
      <c r="G30" s="31"/>
      <c r="H30" s="31"/>
      <c r="I30" s="31"/>
      <c r="J30" s="31"/>
      <c r="K30" s="31"/>
    </row>
    <row r="31" spans="1:13" x14ac:dyDescent="0.6">
      <c r="A31" s="47"/>
      <c r="B31" s="48"/>
      <c r="C31" s="30"/>
      <c r="D31" s="30"/>
      <c r="E31" s="31"/>
      <c r="F31" s="31"/>
      <c r="G31" s="31"/>
      <c r="H31" s="31"/>
      <c r="I31" s="31"/>
      <c r="J31" s="31"/>
      <c r="K31" s="31"/>
    </row>
    <row r="32" spans="1:13" x14ac:dyDescent="0.6">
      <c r="A32" s="80"/>
      <c r="B32" s="81" t="s">
        <v>136</v>
      </c>
      <c r="C32" s="82"/>
      <c r="D32" s="82"/>
      <c r="E32" s="83"/>
      <c r="F32" s="83"/>
      <c r="G32" s="83"/>
      <c r="H32" s="83"/>
      <c r="I32" s="83"/>
      <c r="J32" s="83"/>
      <c r="K32" s="83"/>
    </row>
    <row r="33" spans="1:11" x14ac:dyDescent="0.6">
      <c r="A33" s="47"/>
      <c r="B33" s="48" t="s">
        <v>137</v>
      </c>
      <c r="C33" s="72">
        <f>C21+C22</f>
        <v>5315615.384615385</v>
      </c>
      <c r="D33" s="72">
        <f t="shared" ref="D33:K33" si="9">D21+D22</f>
        <v>4516846.1538461559</v>
      </c>
      <c r="E33" s="72">
        <f t="shared" si="9"/>
        <v>3718076.9230769249</v>
      </c>
      <c r="F33" s="72">
        <f t="shared" si="9"/>
        <v>2919307.6923076939</v>
      </c>
      <c r="G33" s="72">
        <f t="shared" si="9"/>
        <v>2120538.4615384624</v>
      </c>
      <c r="H33" s="72">
        <f t="shared" si="9"/>
        <v>1321769.2307692319</v>
      </c>
      <c r="I33" s="72">
        <f t="shared" si="9"/>
        <v>523000.00000000006</v>
      </c>
      <c r="J33" s="72">
        <f t="shared" si="9"/>
        <v>523000.00000000006</v>
      </c>
      <c r="K33" s="72">
        <f t="shared" si="9"/>
        <v>523000.00000000006</v>
      </c>
    </row>
    <row r="34" spans="1:11" x14ac:dyDescent="0.6">
      <c r="A34" s="47"/>
      <c r="B34" s="48" t="s">
        <v>138</v>
      </c>
      <c r="C34" s="72">
        <f t="shared" ref="C34:K34" si="10">C20</f>
        <v>825445.55384615378</v>
      </c>
      <c r="D34" s="72">
        <f t="shared" si="10"/>
        <v>1112823.3714423077</v>
      </c>
      <c r="E34" s="75">
        <f t="shared" si="10"/>
        <v>1444187.8802269229</v>
      </c>
      <c r="F34" s="75">
        <f t="shared" si="10"/>
        <v>1816683.1873629997</v>
      </c>
      <c r="G34" s="75">
        <f t="shared" si="10"/>
        <v>2227663.0841674479</v>
      </c>
      <c r="H34" s="75">
        <f t="shared" si="10"/>
        <v>2638639.2077914863</v>
      </c>
      <c r="I34" s="75">
        <f t="shared" si="10"/>
        <v>3047362.6562746</v>
      </c>
      <c r="J34" s="75">
        <f t="shared" si="10"/>
        <v>3449165.3335276446</v>
      </c>
      <c r="K34" s="75">
        <f t="shared" si="10"/>
        <v>3837768.538453104</v>
      </c>
    </row>
    <row r="35" spans="1:11" x14ac:dyDescent="0.6">
      <c r="A35" s="47"/>
      <c r="B35" s="48" t="s">
        <v>139</v>
      </c>
      <c r="C35" s="30">
        <f>C33/C34</f>
        <v>6.4396923090170368</v>
      </c>
      <c r="D35" s="30">
        <f t="shared" ref="D35:K35" si="11">D33/D34</f>
        <v>4.0589066241410476</v>
      </c>
      <c r="E35" s="31">
        <f t="shared" si="11"/>
        <v>2.5745105425567685</v>
      </c>
      <c r="F35" s="31">
        <f t="shared" si="11"/>
        <v>1.6069437492539385</v>
      </c>
      <c r="G35" s="31">
        <f t="shared" si="11"/>
        <v>0.95191165872867101</v>
      </c>
      <c r="H35" s="31">
        <f t="shared" si="11"/>
        <v>0.50092836749573622</v>
      </c>
      <c r="I35" s="31">
        <f t="shared" si="11"/>
        <v>0.17162381343852504</v>
      </c>
      <c r="J35" s="31">
        <f t="shared" si="11"/>
        <v>0.15163088730951038</v>
      </c>
      <c r="K35" s="31">
        <f t="shared" si="11"/>
        <v>0.13627710862698525</v>
      </c>
    </row>
    <row r="36" spans="1:11" x14ac:dyDescent="0.6">
      <c r="A36" s="47"/>
      <c r="B36" s="78" t="s">
        <v>151</v>
      </c>
      <c r="C36" s="30"/>
      <c r="D36" s="30"/>
      <c r="E36" s="31"/>
      <c r="F36" s="31">
        <f>AVERAGE(C35:K35)</f>
        <v>1.8436027845075802</v>
      </c>
      <c r="G36" s="31"/>
      <c r="H36" s="31"/>
      <c r="I36" s="75"/>
      <c r="J36" s="75"/>
      <c r="K36" s="75"/>
    </row>
    <row r="37" spans="1:11" x14ac:dyDescent="0.6">
      <c r="A37" s="47"/>
      <c r="B37" s="48"/>
      <c r="C37" s="30"/>
      <c r="D37" s="30"/>
      <c r="E37" s="31"/>
      <c r="F37" s="31"/>
      <c r="G37" s="31"/>
      <c r="H37" s="31"/>
      <c r="I37" s="75"/>
      <c r="J37" s="75"/>
      <c r="K37" s="75"/>
    </row>
    <row r="38" spans="1:11" x14ac:dyDescent="0.6">
      <c r="A38" s="80"/>
      <c r="B38" s="81" t="s">
        <v>152</v>
      </c>
      <c r="C38" s="82"/>
      <c r="D38" s="82"/>
      <c r="E38" s="83"/>
      <c r="F38" s="83"/>
      <c r="G38" s="83"/>
      <c r="H38" s="83"/>
      <c r="I38" s="84"/>
      <c r="J38" s="84"/>
      <c r="K38" s="84"/>
    </row>
    <row r="39" spans="1:11" x14ac:dyDescent="0.6">
      <c r="A39" s="47"/>
      <c r="B39" s="78" t="s">
        <v>153</v>
      </c>
      <c r="C39" s="72">
        <f t="shared" ref="C39:K39" si="12">C11</f>
        <v>5032950</v>
      </c>
      <c r="D39" s="72">
        <f t="shared" si="12"/>
        <v>4350007.5</v>
      </c>
      <c r="E39" s="72">
        <f t="shared" si="12"/>
        <v>3762306.375</v>
      </c>
      <c r="F39" s="72">
        <f t="shared" si="12"/>
        <v>3256280.4187500002</v>
      </c>
      <c r="G39" s="72">
        <f t="shared" si="12"/>
        <v>2820326.3559375</v>
      </c>
      <c r="H39" s="72">
        <f t="shared" si="12"/>
        <v>2444516.6025468749</v>
      </c>
      <c r="I39" s="72">
        <f t="shared" si="12"/>
        <v>2120354.3921648436</v>
      </c>
      <c r="J39" s="72">
        <f t="shared" si="12"/>
        <v>1840564.985340117</v>
      </c>
      <c r="K39" s="72">
        <f t="shared" si="12"/>
        <v>1598917.6143390993</v>
      </c>
    </row>
    <row r="40" spans="1:11" x14ac:dyDescent="0.6">
      <c r="A40" s="47"/>
      <c r="B40" s="78" t="s">
        <v>137</v>
      </c>
      <c r="C40" s="72">
        <f t="shared" ref="C40:K40" si="13">C21+C22</f>
        <v>5315615.384615385</v>
      </c>
      <c r="D40" s="72">
        <f t="shared" si="13"/>
        <v>4516846.1538461559</v>
      </c>
      <c r="E40" s="72">
        <f t="shared" si="13"/>
        <v>3718076.9230769249</v>
      </c>
      <c r="F40" s="72">
        <f t="shared" si="13"/>
        <v>2919307.6923076939</v>
      </c>
      <c r="G40" s="72">
        <f t="shared" si="13"/>
        <v>2120538.4615384624</v>
      </c>
      <c r="H40" s="72">
        <f t="shared" si="13"/>
        <v>1321769.2307692319</v>
      </c>
      <c r="I40" s="72">
        <f t="shared" si="13"/>
        <v>523000.00000000006</v>
      </c>
      <c r="J40" s="72">
        <f t="shared" si="13"/>
        <v>523000.00000000006</v>
      </c>
      <c r="K40" s="72">
        <f t="shared" si="13"/>
        <v>523000.00000000006</v>
      </c>
    </row>
    <row r="41" spans="1:11" x14ac:dyDescent="0.6">
      <c r="A41" s="47"/>
      <c r="B41" s="78" t="s">
        <v>139</v>
      </c>
      <c r="C41" s="30">
        <f>C39/C40</f>
        <v>0.94682358218890639</v>
      </c>
      <c r="D41" s="30">
        <f t="shared" ref="D41:G41" si="14">D39/D40</f>
        <v>0.96306302048740566</v>
      </c>
      <c r="E41" s="30">
        <f t="shared" si="14"/>
        <v>1.0118957872142336</v>
      </c>
      <c r="F41" s="30">
        <f t="shared" si="14"/>
        <v>1.1154289858962867</v>
      </c>
      <c r="G41" s="30">
        <f t="shared" si="14"/>
        <v>1.3300048110852645</v>
      </c>
      <c r="H41" s="72">
        <v>0</v>
      </c>
      <c r="I41" s="72">
        <v>0</v>
      </c>
      <c r="J41" s="72">
        <v>0</v>
      </c>
      <c r="K41" s="72">
        <v>0</v>
      </c>
    </row>
    <row r="42" spans="1:11" x14ac:dyDescent="0.6">
      <c r="A42" s="47"/>
      <c r="B42" s="78" t="s">
        <v>151</v>
      </c>
      <c r="C42" s="30"/>
      <c r="D42" s="30"/>
      <c r="E42" s="31"/>
      <c r="F42" s="31">
        <f>AVERAGE(C41:K41)</f>
        <v>0.59635735409689972</v>
      </c>
      <c r="G42" s="31"/>
      <c r="H42" s="31"/>
      <c r="I42" s="31"/>
      <c r="J42" s="31"/>
      <c r="K42" s="31"/>
    </row>
    <row r="43" spans="1:11" x14ac:dyDescent="0.6">
      <c r="A43" s="47"/>
      <c r="B43" s="48"/>
      <c r="C43" s="30"/>
      <c r="D43" s="30"/>
      <c r="E43" s="31"/>
      <c r="F43" s="31"/>
      <c r="G43" s="31"/>
      <c r="H43" s="31"/>
      <c r="I43" s="75"/>
      <c r="J43" s="75"/>
      <c r="K43" s="75"/>
    </row>
    <row r="44" spans="1:11" x14ac:dyDescent="0.6">
      <c r="A44" s="80"/>
      <c r="B44" s="81" t="s">
        <v>145</v>
      </c>
      <c r="C44" s="82"/>
      <c r="D44" s="82"/>
      <c r="E44" s="83"/>
      <c r="F44" s="83"/>
      <c r="G44" s="83"/>
      <c r="H44" s="83"/>
      <c r="I44" s="84"/>
      <c r="J44" s="84"/>
      <c r="K44" s="84"/>
    </row>
    <row r="45" spans="1:11" x14ac:dyDescent="0.6">
      <c r="A45" s="47"/>
      <c r="B45" s="48" t="s">
        <v>146</v>
      </c>
      <c r="C45" s="74">
        <f>'Ann 4'!C22</f>
        <v>360824.61538461543</v>
      </c>
      <c r="D45" s="74">
        <f>'Ann 4'!D22</f>
        <v>321884.61538461543</v>
      </c>
      <c r="E45" s="74">
        <f>'Ann 4'!E22</f>
        <v>273958.46153846168</v>
      </c>
      <c r="F45" s="74">
        <f>'Ann 4'!F22</f>
        <v>226032.30769230778</v>
      </c>
      <c r="G45" s="74">
        <f>'Ann 4'!G22</f>
        <v>178106.15384615393</v>
      </c>
      <c r="H45" s="74">
        <f>'Ann 4'!H22</f>
        <v>130180.00000000006</v>
      </c>
      <c r="I45" s="74">
        <f>'Ann 4'!I22</f>
        <v>82253.846153846229</v>
      </c>
      <c r="J45" s="74">
        <f>'Ann 4'!J22</f>
        <v>52300.000000000007</v>
      </c>
      <c r="K45" s="74">
        <f>'Ann 4'!K22</f>
        <v>52300.000000000007</v>
      </c>
    </row>
    <row r="46" spans="1:11" x14ac:dyDescent="0.6">
      <c r="A46" s="47"/>
      <c r="B46" s="48" t="s">
        <v>148</v>
      </c>
      <c r="C46" s="74">
        <f>(SUM('Ann 13'!D9:D12)*100000)+('Ann 1'!$C$25*100000)</f>
        <v>922384.61538461549</v>
      </c>
      <c r="D46" s="74">
        <f>(SUM('Ann 13'!D13:D16)*100000)+('Ann 1'!$C$25*100000)</f>
        <v>1321769.2307692308</v>
      </c>
      <c r="E46" s="74">
        <f>(SUM('Ann 13'!D17:D20)*100000)+('Ann 1'!$C$25*100000)</f>
        <v>1321769.2307692308</v>
      </c>
      <c r="F46" s="74">
        <f>(SUM('Ann 13'!D21:D24)*100000)+('Ann 1'!$C$25*100000)</f>
        <v>1321769.2307692308</v>
      </c>
      <c r="G46" s="74">
        <f>(SUM('Ann 13'!D25:D28)*100000)+('Ann 1'!$C$25*100000)</f>
        <v>1321769.2307692308</v>
      </c>
      <c r="H46" s="74">
        <f>(SUM('Ann 13'!D29:D32)*100000)+('Ann 1'!$C$25*100000)</f>
        <v>1321769.2307692308</v>
      </c>
      <c r="I46" s="74">
        <f>(SUM('Ann 13'!D33:D36)*100000)+('Ann 1'!$C$25*100000)</f>
        <v>1321769.2307692321</v>
      </c>
      <c r="J46" s="74">
        <f>(SUM('Ann 13'!D37:D37)*100000)+('Ann 1'!$C$25*100000)</f>
        <v>523000.00000000006</v>
      </c>
      <c r="K46" s="74">
        <f>(SUM('Ann 13'!D38:D39)*100000)+('Ann 1'!$C$25*100000)</f>
        <v>523000.00000000006</v>
      </c>
    </row>
    <row r="47" spans="1:11" x14ac:dyDescent="0.6">
      <c r="A47" s="47"/>
      <c r="B47" s="48" t="s">
        <v>8</v>
      </c>
      <c r="C47" s="74">
        <f>SUM(C45:C46)</f>
        <v>1283209.230769231</v>
      </c>
      <c r="D47" s="74">
        <f t="shared" ref="D47:K47" si="15">SUM(D45:D46)</f>
        <v>1643653.8461538462</v>
      </c>
      <c r="E47" s="77">
        <f t="shared" si="15"/>
        <v>1595727.6923076925</v>
      </c>
      <c r="F47" s="77">
        <f t="shared" si="15"/>
        <v>1547801.5384615385</v>
      </c>
      <c r="G47" s="77">
        <f t="shared" si="15"/>
        <v>1499875.3846153847</v>
      </c>
      <c r="H47" s="77">
        <f t="shared" si="15"/>
        <v>1451949.2307692308</v>
      </c>
      <c r="I47" s="77">
        <f t="shared" si="15"/>
        <v>1404023.0769230784</v>
      </c>
      <c r="J47" s="77">
        <f t="shared" si="15"/>
        <v>575300.00000000012</v>
      </c>
      <c r="K47" s="77">
        <f t="shared" si="15"/>
        <v>575300.00000000012</v>
      </c>
    </row>
    <row r="48" spans="1:11" x14ac:dyDescent="0.6">
      <c r="A48" s="47"/>
      <c r="B48" s="48" t="s">
        <v>147</v>
      </c>
      <c r="C48" s="74">
        <f>'Ann 4'!C17</f>
        <v>2515200</v>
      </c>
      <c r="D48" s="74">
        <f>'Ann 4'!D17</f>
        <v>3057525.8125</v>
      </c>
      <c r="E48" s="77">
        <f>'Ann 4'!E17</f>
        <v>3228548.9349999996</v>
      </c>
      <c r="F48" s="77">
        <f>'Ann 4'!F17</f>
        <v>3392739.0291999998</v>
      </c>
      <c r="G48" s="77">
        <f>'Ann 4'!G17</f>
        <v>3549630.9081189996</v>
      </c>
      <c r="H48" s="77">
        <f>'Ann 4'!H17</f>
        <v>3441533.4935623296</v>
      </c>
      <c r="I48" s="77">
        <f>'Ann 4'!I17</f>
        <v>3325869.2599866921</v>
      </c>
      <c r="J48" s="77">
        <f>'Ann 4'!J17</f>
        <v>3202108.5300607607</v>
      </c>
      <c r="K48" s="77">
        <f>'Ann 4'!K17</f>
        <v>3069684.5490400139</v>
      </c>
    </row>
    <row r="49" spans="1:11" x14ac:dyDescent="0.6">
      <c r="A49" s="47"/>
      <c r="B49" s="78" t="s">
        <v>139</v>
      </c>
      <c r="C49" s="30">
        <f>C48/C47</f>
        <v>1.9600856506403412</v>
      </c>
      <c r="D49" s="30">
        <f t="shared" ref="D49:H49" si="16">D48/D47</f>
        <v>1.8602005645255644</v>
      </c>
      <c r="E49" s="31">
        <f t="shared" si="16"/>
        <v>2.0232455390499435</v>
      </c>
      <c r="F49" s="31">
        <f t="shared" si="16"/>
        <v>2.1919729014950233</v>
      </c>
      <c r="G49" s="31">
        <f t="shared" si="16"/>
        <v>2.3666172166891295</v>
      </c>
      <c r="H49" s="31">
        <f t="shared" si="16"/>
        <v>2.3702850076507382</v>
      </c>
      <c r="I49" s="31">
        <v>0</v>
      </c>
      <c r="J49" s="31">
        <v>0</v>
      </c>
      <c r="K49" s="31">
        <v>0</v>
      </c>
    </row>
    <row r="50" spans="1:11" ht="17.5" thickBot="1" x14ac:dyDescent="0.65">
      <c r="A50" s="123"/>
      <c r="B50" s="124" t="s">
        <v>151</v>
      </c>
      <c r="C50" s="125"/>
      <c r="D50" s="125"/>
      <c r="E50" s="126"/>
      <c r="F50" s="126">
        <f>AVERAGE(C49:G49)</f>
        <v>2.0804243744800006</v>
      </c>
      <c r="G50" s="126"/>
      <c r="H50" s="126"/>
      <c r="I50" s="126"/>
      <c r="J50" s="126"/>
      <c r="K50" s="126"/>
    </row>
    <row r="51" spans="1:11" ht="17.5" thickTop="1" x14ac:dyDescent="0.6">
      <c r="I51" s="23"/>
      <c r="J51" s="23"/>
      <c r="K51" s="23"/>
    </row>
    <row r="52" spans="1:11" x14ac:dyDescent="0.6">
      <c r="A52" s="8" t="s">
        <v>225</v>
      </c>
    </row>
    <row r="53" spans="1:11" x14ac:dyDescent="0.6">
      <c r="A53" s="8" t="s">
        <v>135</v>
      </c>
    </row>
  </sheetData>
  <mergeCells count="3">
    <mergeCell ref="A5:A6"/>
    <mergeCell ref="B5:B6"/>
    <mergeCell ref="C5:K5"/>
  </mergeCells>
  <pageMargins left="0.7" right="0.7" top="0.75" bottom="0.7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3" t="s">
        <v>228</v>
      </c>
    </row>
    <row r="3" spans="1:3" x14ac:dyDescent="0.35">
      <c r="A3" s="2" t="s">
        <v>231</v>
      </c>
    </row>
    <row r="5" spans="1:3" x14ac:dyDescent="0.35">
      <c r="A5" s="3" t="s">
        <v>229</v>
      </c>
    </row>
    <row r="6" spans="1:3" x14ac:dyDescent="0.35">
      <c r="A6" s="4" t="s">
        <v>237</v>
      </c>
    </row>
    <row r="7" spans="1:3" x14ac:dyDescent="0.35">
      <c r="A7" t="s">
        <v>230</v>
      </c>
      <c r="B7">
        <v>5</v>
      </c>
      <c r="C7" t="s">
        <v>234</v>
      </c>
    </row>
    <row r="8" spans="1:3" x14ac:dyDescent="0.35">
      <c r="A8" t="s">
        <v>232</v>
      </c>
      <c r="B8">
        <v>30</v>
      </c>
      <c r="C8" t="s">
        <v>235</v>
      </c>
    </row>
    <row r="9" spans="1:3" x14ac:dyDescent="0.35">
      <c r="A9" t="s">
        <v>233</v>
      </c>
      <c r="B9">
        <f>B8*3000*20/B7</f>
        <v>360000</v>
      </c>
      <c r="C9" t="s">
        <v>236</v>
      </c>
    </row>
    <row r="11" spans="1:3" x14ac:dyDescent="0.35">
      <c r="A11" s="4" t="s">
        <v>238</v>
      </c>
    </row>
    <row r="12" spans="1:3" x14ac:dyDescent="0.35">
      <c r="A12" s="4" t="s">
        <v>230</v>
      </c>
      <c r="B12">
        <v>0.5</v>
      </c>
      <c r="C12" t="s">
        <v>239</v>
      </c>
    </row>
    <row r="13" spans="1:3" x14ac:dyDescent="0.35">
      <c r="A13" s="4" t="s">
        <v>240</v>
      </c>
      <c r="B13">
        <f>B12*3000*30</f>
        <v>45000</v>
      </c>
      <c r="C13" t="s">
        <v>241</v>
      </c>
    </row>
    <row r="15" spans="1:3" x14ac:dyDescent="0.35">
      <c r="A15" t="s">
        <v>242</v>
      </c>
      <c r="B15">
        <f>B13+B9</f>
        <v>405000</v>
      </c>
    </row>
    <row r="16" spans="1:3" x14ac:dyDescent="0.35">
      <c r="A16" t="s">
        <v>243</v>
      </c>
      <c r="B16">
        <v>75</v>
      </c>
    </row>
    <row r="17" spans="1:2" x14ac:dyDescent="0.35">
      <c r="A17" t="s">
        <v>244</v>
      </c>
      <c r="B17" s="6">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A12" sqref="A12"/>
    </sheetView>
  </sheetViews>
  <sheetFormatPr defaultRowHeight="17" x14ac:dyDescent="0.6"/>
  <cols>
    <col min="1" max="1" width="5.6328125" style="8" bestFit="1" customWidth="1"/>
    <col min="2" max="2" width="26.08984375" style="8" bestFit="1" customWidth="1"/>
    <col min="3" max="3" width="8.7265625" style="8"/>
    <col min="4" max="4" width="25" style="8" bestFit="1" customWidth="1"/>
    <col min="5" max="5" width="12.54296875" style="8" bestFit="1" customWidth="1"/>
    <col min="6" max="16384" width="8.7265625" style="8"/>
  </cols>
  <sheetData>
    <row r="1" spans="1:5" x14ac:dyDescent="0.6">
      <c r="A1" s="7" t="s">
        <v>155</v>
      </c>
    </row>
    <row r="3" spans="1:5" x14ac:dyDescent="0.6">
      <c r="A3" s="9" t="s">
        <v>156</v>
      </c>
    </row>
    <row r="5" spans="1:5" x14ac:dyDescent="0.6">
      <c r="A5" s="25" t="s">
        <v>52</v>
      </c>
      <c r="B5" s="25" t="s">
        <v>53</v>
      </c>
      <c r="C5" s="25" t="s">
        <v>54</v>
      </c>
      <c r="D5" s="25" t="s">
        <v>55</v>
      </c>
      <c r="E5" s="25" t="s">
        <v>224</v>
      </c>
    </row>
    <row r="6" spans="1:5" x14ac:dyDescent="0.6">
      <c r="A6" s="10" t="s">
        <v>56</v>
      </c>
      <c r="B6" s="10" t="s">
        <v>176</v>
      </c>
      <c r="C6" s="10">
        <v>3</v>
      </c>
      <c r="D6" s="11">
        <v>14000</v>
      </c>
      <c r="E6" s="11">
        <f>D6*C6*12</f>
        <v>504000</v>
      </c>
    </row>
    <row r="7" spans="1:5" x14ac:dyDescent="0.6">
      <c r="A7" s="12" t="s">
        <v>57</v>
      </c>
      <c r="B7" s="12" t="s">
        <v>60</v>
      </c>
      <c r="C7" s="12">
        <v>1</v>
      </c>
      <c r="D7" s="11">
        <v>22000</v>
      </c>
      <c r="E7" s="11">
        <f>D7*C7*12</f>
        <v>264000</v>
      </c>
    </row>
    <row r="8" spans="1:5" x14ac:dyDescent="0.6">
      <c r="A8" s="12" t="s">
        <v>61</v>
      </c>
      <c r="B8" s="12" t="s">
        <v>223</v>
      </c>
      <c r="C8" s="12">
        <v>2</v>
      </c>
      <c r="D8" s="11">
        <v>10500</v>
      </c>
      <c r="E8" s="11">
        <f>D8*C8*12</f>
        <v>252000</v>
      </c>
    </row>
    <row r="9" spans="1:5" x14ac:dyDescent="0.6">
      <c r="A9" s="12" t="s">
        <v>222</v>
      </c>
      <c r="B9" s="12" t="s">
        <v>157</v>
      </c>
      <c r="C9" s="12">
        <v>1</v>
      </c>
      <c r="D9" s="11">
        <v>8500</v>
      </c>
      <c r="E9" s="11">
        <f>D9*C9*12</f>
        <v>102000</v>
      </c>
    </row>
    <row r="10" spans="1:5" x14ac:dyDescent="0.6">
      <c r="A10" s="132" t="s">
        <v>8</v>
      </c>
      <c r="B10" s="132"/>
      <c r="C10" s="132"/>
      <c r="D10" s="132"/>
      <c r="E10" s="13">
        <f>SUM(E6:E9)</f>
        <v>1122000</v>
      </c>
    </row>
    <row r="11" spans="1:5" x14ac:dyDescent="0.6">
      <c r="A11" s="14"/>
      <c r="B11" s="15"/>
      <c r="C11" s="15"/>
      <c r="D11" s="15"/>
      <c r="E11" s="16"/>
    </row>
    <row r="12" spans="1:5" x14ac:dyDescent="0.6">
      <c r="A12" s="17" t="s">
        <v>294</v>
      </c>
      <c r="B12" s="18"/>
      <c r="C12" s="18"/>
      <c r="D12" s="18"/>
      <c r="E12" s="19">
        <f>E10*5%</f>
        <v>56100</v>
      </c>
    </row>
    <row r="13" spans="1:5" x14ac:dyDescent="0.6">
      <c r="A13" s="20" t="s">
        <v>8</v>
      </c>
      <c r="B13" s="21"/>
      <c r="C13" s="21"/>
      <c r="D13" s="21"/>
      <c r="E13" s="22">
        <f>SUM(E10:E12)</f>
        <v>1178100</v>
      </c>
    </row>
    <row r="15" spans="1:5" x14ac:dyDescent="0.6">
      <c r="A15" s="8" t="s">
        <v>58</v>
      </c>
      <c r="E15" s="23">
        <f>E13</f>
        <v>1178100</v>
      </c>
    </row>
    <row r="16" spans="1:5" x14ac:dyDescent="0.6">
      <c r="A16" s="8" t="s">
        <v>59</v>
      </c>
      <c r="E16" s="24">
        <v>0.05</v>
      </c>
    </row>
    <row r="17" spans="1:5" x14ac:dyDescent="0.6">
      <c r="A17" s="8" t="s">
        <v>159</v>
      </c>
      <c r="E17" s="8">
        <f>SUM(C6:C9)</f>
        <v>7</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D6" sqref="D6"/>
    </sheetView>
  </sheetViews>
  <sheetFormatPr defaultRowHeight="17" x14ac:dyDescent="0.6"/>
  <cols>
    <col min="1" max="1" width="6.36328125" style="8" bestFit="1" customWidth="1"/>
    <col min="2" max="2" width="18.81640625" style="8" bestFit="1" customWidth="1"/>
    <col min="3" max="3" width="19.453125" style="8" bestFit="1" customWidth="1"/>
    <col min="4" max="4" width="18.08984375" style="8" bestFit="1" customWidth="1"/>
    <col min="5" max="5" width="14.453125" style="8" bestFit="1" customWidth="1"/>
    <col min="6" max="6" width="26.453125" style="8" bestFit="1" customWidth="1"/>
    <col min="7" max="16384" width="8.7265625" style="8"/>
  </cols>
  <sheetData>
    <row r="1" spans="1:6" x14ac:dyDescent="0.6">
      <c r="A1" s="7" t="s">
        <v>63</v>
      </c>
    </row>
    <row r="3" spans="1:6" x14ac:dyDescent="0.6">
      <c r="A3" s="9" t="s">
        <v>62</v>
      </c>
    </row>
    <row r="5" spans="1:6" x14ac:dyDescent="0.6">
      <c r="A5" s="25" t="s">
        <v>24</v>
      </c>
      <c r="B5" s="25" t="s">
        <v>3</v>
      </c>
      <c r="C5" s="25" t="s">
        <v>66</v>
      </c>
      <c r="D5" s="25" t="s">
        <v>11</v>
      </c>
      <c r="E5" s="25" t="s">
        <v>67</v>
      </c>
      <c r="F5" s="25" t="s">
        <v>68</v>
      </c>
    </row>
    <row r="6" spans="1:6" x14ac:dyDescent="0.6">
      <c r="A6" s="12" t="s">
        <v>56</v>
      </c>
      <c r="B6" s="12" t="s">
        <v>13</v>
      </c>
      <c r="C6" s="11">
        <f>'Ann 1'!C12*100000</f>
        <v>1600000</v>
      </c>
      <c r="D6" s="11">
        <f>('Ann 1'!C20+'Ann 1'!C37)*100000</f>
        <v>4227000</v>
      </c>
      <c r="E6" s="11">
        <v>0</v>
      </c>
      <c r="F6" s="85">
        <f>SUM(C6:E6)/100000</f>
        <v>58.27</v>
      </c>
    </row>
    <row r="7" spans="1:6" x14ac:dyDescent="0.6">
      <c r="A7" s="12" t="s">
        <v>57</v>
      </c>
      <c r="B7" s="12" t="s">
        <v>64</v>
      </c>
      <c r="C7" s="11">
        <v>0</v>
      </c>
      <c r="D7" s="11">
        <v>0</v>
      </c>
      <c r="E7" s="11">
        <v>0</v>
      </c>
      <c r="F7" s="86">
        <f>SUM(C7:E7)/100000</f>
        <v>0</v>
      </c>
    </row>
    <row r="8" spans="1:6" x14ac:dyDescent="0.6">
      <c r="A8" s="12" t="s">
        <v>61</v>
      </c>
      <c r="B8" s="12" t="s">
        <v>65</v>
      </c>
      <c r="C8" s="11">
        <v>0</v>
      </c>
      <c r="D8" s="11">
        <v>0</v>
      </c>
      <c r="E8" s="11">
        <v>0</v>
      </c>
      <c r="F8" s="86">
        <f>SUM(C8:E8)/100000</f>
        <v>0</v>
      </c>
    </row>
    <row r="9" spans="1:6" x14ac:dyDescent="0.6">
      <c r="A9" s="12"/>
      <c r="B9" s="132" t="s">
        <v>8</v>
      </c>
      <c r="C9" s="132"/>
      <c r="D9" s="132"/>
      <c r="E9" s="132"/>
      <c r="F9" s="85">
        <f>SUM(F6:F8)</f>
        <v>58.27</v>
      </c>
    </row>
    <row r="11" spans="1:6" x14ac:dyDescent="0.6">
      <c r="A11" s="68"/>
      <c r="B11" s="68" t="s">
        <v>69</v>
      </c>
      <c r="C11" s="92">
        <v>0.1</v>
      </c>
      <c r="D11" s="92">
        <v>0.15</v>
      </c>
      <c r="E11" s="92">
        <v>0.1</v>
      </c>
      <c r="F11" s="68" t="s">
        <v>175</v>
      </c>
    </row>
    <row r="12" spans="1:6" x14ac:dyDescent="0.6">
      <c r="A12" s="88" t="s">
        <v>70</v>
      </c>
      <c r="B12" s="89">
        <v>1</v>
      </c>
      <c r="C12" s="90">
        <f>C11*C6</f>
        <v>160000</v>
      </c>
      <c r="D12" s="90">
        <f>D11*D6</f>
        <v>634050</v>
      </c>
      <c r="E12" s="90">
        <f>E11*E6</f>
        <v>0</v>
      </c>
      <c r="F12" s="90">
        <f>SUM(C12:E12)</f>
        <v>794050</v>
      </c>
    </row>
    <row r="13" spans="1:6" x14ac:dyDescent="0.6">
      <c r="A13" s="88" t="s">
        <v>70</v>
      </c>
      <c r="B13" s="89">
        <v>2</v>
      </c>
      <c r="C13" s="90">
        <f>(C6-C12)*C11</f>
        <v>144000</v>
      </c>
      <c r="D13" s="90">
        <f>(D6-D12)*D11</f>
        <v>538942.5</v>
      </c>
      <c r="E13" s="90">
        <f>(E6-E12)*E11</f>
        <v>0</v>
      </c>
      <c r="F13" s="90">
        <f>SUM(C13:E13)</f>
        <v>682942.5</v>
      </c>
    </row>
    <row r="14" spans="1:6" x14ac:dyDescent="0.6">
      <c r="A14" s="88" t="s">
        <v>70</v>
      </c>
      <c r="B14" s="89">
        <v>3</v>
      </c>
      <c r="C14" s="90">
        <f>(C6-C12-C13)*C11</f>
        <v>129600</v>
      </c>
      <c r="D14" s="90">
        <f>(D6-D12-D13)*D11</f>
        <v>458101.125</v>
      </c>
      <c r="E14" s="90">
        <f>(E6-E12-E13)*E11</f>
        <v>0</v>
      </c>
      <c r="F14" s="90">
        <f t="shared" ref="F14:F20" si="0">SUM(C14:E14)</f>
        <v>587701.125</v>
      </c>
    </row>
    <row r="15" spans="1:6" x14ac:dyDescent="0.6">
      <c r="A15" s="88" t="s">
        <v>70</v>
      </c>
      <c r="B15" s="89">
        <v>4</v>
      </c>
      <c r="C15" s="90">
        <f>(C6-C12-C13-C14)*C11</f>
        <v>116640</v>
      </c>
      <c r="D15" s="90">
        <f>(D6-D12-D13-D14)*D11</f>
        <v>389385.95624999999</v>
      </c>
      <c r="E15" s="90">
        <f>(E6-E12-E13-E14)*E11</f>
        <v>0</v>
      </c>
      <c r="F15" s="90">
        <f t="shared" si="0"/>
        <v>506025.95624999999</v>
      </c>
    </row>
    <row r="16" spans="1:6" x14ac:dyDescent="0.6">
      <c r="A16" s="88" t="s">
        <v>70</v>
      </c>
      <c r="B16" s="89">
        <v>5</v>
      </c>
      <c r="C16" s="90">
        <f>(C6-C12-C13-C14-C15)*C11</f>
        <v>104976</v>
      </c>
      <c r="D16" s="90">
        <f>(D6-D12-D13-D14-D15)*D11</f>
        <v>330978.06281249999</v>
      </c>
      <c r="E16" s="90">
        <f>(E6-E12-E13-E14-E15)*E11</f>
        <v>0</v>
      </c>
      <c r="F16" s="90">
        <f t="shared" si="0"/>
        <v>435954.06281249999</v>
      </c>
    </row>
    <row r="17" spans="1:6" x14ac:dyDescent="0.6">
      <c r="A17" s="88" t="s">
        <v>70</v>
      </c>
      <c r="B17" s="89">
        <v>6</v>
      </c>
      <c r="C17" s="90">
        <f>(C6-C12-C13-C14-C15-C16)*C11</f>
        <v>94478.400000000009</v>
      </c>
      <c r="D17" s="90">
        <f>(D6-D12-D13-D14-D15-D16)*D11</f>
        <v>281331.35339062504</v>
      </c>
      <c r="E17" s="90">
        <f>(E6-E12-E13-E14-E15-E16)*E11</f>
        <v>0</v>
      </c>
      <c r="F17" s="90">
        <f t="shared" si="0"/>
        <v>375809.75339062506</v>
      </c>
    </row>
    <row r="18" spans="1:6" x14ac:dyDescent="0.6">
      <c r="A18" s="88" t="s">
        <v>70</v>
      </c>
      <c r="B18" s="89">
        <v>7</v>
      </c>
      <c r="C18" s="90">
        <f>(C6-C12-C13-C14-C15-C16-C17)*C11</f>
        <v>85030.56</v>
      </c>
      <c r="D18" s="90">
        <f>(D6-D12-D13-D14-D15-D16-D17)*D11</f>
        <v>239131.65038203128</v>
      </c>
      <c r="E18" s="90">
        <f>(E6-E12-E13-E14-E15-E16-E17)*E11</f>
        <v>0</v>
      </c>
      <c r="F18" s="90">
        <f t="shared" si="0"/>
        <v>324162.21038203128</v>
      </c>
    </row>
    <row r="19" spans="1:6" x14ac:dyDescent="0.6">
      <c r="A19" s="88" t="s">
        <v>70</v>
      </c>
      <c r="B19" s="89">
        <v>8</v>
      </c>
      <c r="C19" s="90">
        <f>(C6-C12-C13-C14-C15-C16-C17-C18)*C11</f>
        <v>76527.504000000001</v>
      </c>
      <c r="D19" s="90">
        <f>(D6-D12-D13-D14-D15-D16-D17-D18)*D11</f>
        <v>203261.9028247266</v>
      </c>
      <c r="E19" s="90">
        <f>(E6-E12-E13-E14-E15-E16-E17-E18)*E11</f>
        <v>0</v>
      </c>
      <c r="F19" s="90">
        <f t="shared" si="0"/>
        <v>279789.40682472661</v>
      </c>
    </row>
    <row r="20" spans="1:6" x14ac:dyDescent="0.6">
      <c r="A20" s="88" t="s">
        <v>70</v>
      </c>
      <c r="B20" s="89">
        <v>9</v>
      </c>
      <c r="C20" s="90">
        <f>(C6-C12-C13-C14-C15-C16-C17-C18-C19)*C11</f>
        <v>68874.753600000011</v>
      </c>
      <c r="D20" s="90">
        <f>(D6-D12-D13-D14-D15-D16-D17-D18-D19)*D11</f>
        <v>172772.6174010176</v>
      </c>
      <c r="E20" s="90">
        <f>(E6-E12-E13-E14-E15-E16-E17-E18-E19)*E11</f>
        <v>0</v>
      </c>
      <c r="F20" s="90">
        <f t="shared" si="0"/>
        <v>241647.37100101763</v>
      </c>
    </row>
    <row r="21" spans="1:6" x14ac:dyDescent="0.6">
      <c r="B21" s="40"/>
    </row>
    <row r="22" spans="1:6" x14ac:dyDescent="0.6">
      <c r="A22" s="91"/>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2021-11-11T12:04:27Z</cp:lastPrinted>
  <dcterms:created xsi:type="dcterms:W3CDTF">2021-07-04T07:21:16Z</dcterms:created>
  <dcterms:modified xsi:type="dcterms:W3CDTF">2021-11-11T12:04:32Z</dcterms:modified>
</cp:coreProperties>
</file>